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80" windowWidth="9375" windowHeight="4395" tabRatio="778" activeTab="0"/>
  </bookViews>
  <sheets>
    <sheet name="Abstract of Ratables" sheetId="1" r:id="rId1"/>
  </sheets>
  <definedNames>
    <definedName name="_Fill" hidden="1">'Abstract of Ratables'!#REF!</definedName>
    <definedName name="_xlnm.Print_Area" localSheetId="0">'Abstract of Ratables'!$A$1:$CO$59</definedName>
    <definedName name="_xlnm.Print_Titles" localSheetId="0">'Abstract of Ratables'!$A:$B,'Abstract of Ratables'!$1:$5</definedName>
  </definedNames>
  <calcPr fullCalcOnLoad="1"/>
</workbook>
</file>

<file path=xl/sharedStrings.xml><?xml version="1.0" encoding="utf-8"?>
<sst xmlns="http://schemas.openxmlformats.org/spreadsheetml/2006/main" count="781" uniqueCount="267">
  <si>
    <t>Land Value</t>
  </si>
  <si>
    <t>County Equalization Ratio</t>
  </si>
  <si>
    <t>Ratables</t>
  </si>
  <si>
    <t>Budget</t>
  </si>
  <si>
    <t>Net County Taxes Apportioned</t>
  </si>
  <si>
    <t>Fiscal Year</t>
  </si>
  <si>
    <t>County Tax</t>
  </si>
  <si>
    <t>Library Tax</t>
  </si>
  <si>
    <t>Health Service Tax</t>
  </si>
  <si>
    <t>County Open Space Tax</t>
  </si>
  <si>
    <t>District School Tax</t>
  </si>
  <si>
    <t>Local School Tax</t>
  </si>
  <si>
    <t>Municipal Local Purpose  Tax</t>
  </si>
  <si>
    <t>General Tax Rate</t>
  </si>
  <si>
    <t>Effective Tax Rate</t>
  </si>
  <si>
    <t>Tax Rate</t>
  </si>
  <si>
    <t>Municipal Budget State Aid                                                   (if No Local Purpose Tax)</t>
  </si>
  <si>
    <t xml:space="preserve">Municipal Budget BPP Aid                                                               </t>
  </si>
  <si>
    <t xml:space="preserve">The following municipalities operate under a State Fiscal Year (July 1 – June 30).  Because of the change, the municipal tax levy shown in column 12C7 reflects a tax levy used to calculate the municipal tax rate for the calendar year tax billing cycle.  The final municipal budget amount to be raised by taxes is set in the adopted fiscal year budget.  Shown below is the amount.  </t>
  </si>
  <si>
    <t>Improvement Value                             (including Partial Exemptions and Abatements)</t>
  </si>
  <si>
    <t>Municipal Open Space Tax</t>
  </si>
  <si>
    <t>Net County Taxes Apportioned Less State Aid                                       (Col 12A3 - 12A4)                              (adjusted for County BPP)</t>
  </si>
  <si>
    <t>REAP Eligible Property Assessments</t>
  </si>
  <si>
    <t>REAP Aid Credit</t>
  </si>
  <si>
    <t>REAP Tax Rate Credit</t>
  </si>
  <si>
    <t xml:space="preserve">Municipality  </t>
  </si>
  <si>
    <t>Special Taxing District</t>
  </si>
  <si>
    <t xml:space="preserve">School Budget BPP Aid                                                               </t>
  </si>
  <si>
    <t>Reg. Consol. &amp; Joint School Tax</t>
  </si>
  <si>
    <t>Total Levy on Which Tax Rate Is Computed                                          (Col 12A5 + 12Ba + 12Bb + 12Bc + 12Cia + 12Cib + 12Cic + 12Ciia + 12Ciib + 12Ciic)</t>
  </si>
  <si>
    <t>Municipal Library Tax</t>
  </si>
  <si>
    <t>Equalization Amounts Deducted  (Col 6 County Equalization Table)</t>
  </si>
  <si>
    <t>Equalization Amounts Added (Col 6 County Equalization Table)</t>
  </si>
  <si>
    <t>(A)</t>
  </si>
  <si>
    <t>(B)</t>
  </si>
  <si>
    <t xml:space="preserve">
Taxable Value of Land and Improvements                                                     (COL. 1A + 1B)</t>
  </si>
  <si>
    <t xml:space="preserve">
Total Taxable Value Of Partial Exemptions &amp; Abatements (Assessed Val.)</t>
  </si>
  <si>
    <t xml:space="preserve">
Net Taxable Value Of Land &amp; Improvements (Col 2 - 3)</t>
  </si>
  <si>
    <t xml:space="preserve">
Taxable Value of Machinery Implements Equipment of Telephone Messenger System</t>
  </si>
  <si>
    <t xml:space="preserve">
Net Taxable Value
(Col. 4 + 5)</t>
  </si>
  <si>
    <t xml:space="preserve">
General Tax Rate per $100</t>
  </si>
  <si>
    <t xml:space="preserve">
County Equalization Ratio</t>
  </si>
  <si>
    <t xml:space="preserve">True Value of Expired UEZ Abatements
 </t>
  </si>
  <si>
    <t xml:space="preserve">True Value Class II Railroad Property
</t>
  </si>
  <si>
    <t xml:space="preserve">EQUALIZATION  </t>
  </si>
  <si>
    <t xml:space="preserve">TRUE VALUE </t>
  </si>
  <si>
    <t>TAXABLE VALUE</t>
  </si>
  <si>
    <t xml:space="preserve">
Net Valuation For County Tax Apportionment                                                                (Col 6 - 9A + 9B -10A + 10B)</t>
  </si>
  <si>
    <t>SECTION 12-A</t>
  </si>
  <si>
    <t xml:space="preserve">
Total County Taxes Apportioned</t>
  </si>
  <si>
    <t>ADJUSTMENTS RESULTING FROM:</t>
  </si>
  <si>
    <t>(A)
EQUAL TABLE APPEALS</t>
  </si>
  <si>
    <t>(B)
APPEALS &amp; CORRECTIONS</t>
  </si>
  <si>
    <t>ADD 
UNDERPAY</t>
  </si>
  <si>
    <t>DEDUCT 
OVERPAY</t>
  </si>
  <si>
    <t>(i)</t>
  </si>
  <si>
    <t>(ii)</t>
  </si>
  <si>
    <t>(iii)</t>
  </si>
  <si>
    <t>(iv)</t>
  </si>
  <si>
    <t>(v)</t>
  </si>
  <si>
    <t>SECTION 12-B</t>
  </si>
  <si>
    <t>(A)
Net County Library Taxes Apportioned</t>
  </si>
  <si>
    <t>(B)
Net County Health Service Taxes Apportioned</t>
  </si>
  <si>
    <t>(C)
Net County Open Space Taxes Apportioned</t>
  </si>
  <si>
    <t>SECTION 12-C</t>
  </si>
  <si>
    <t>LOCAL TAXES TO BE RAISED FOR:</t>
  </si>
  <si>
    <t>(A)
District School                                                                    (adjusted for BPP)</t>
  </si>
  <si>
    <t>(B)
Reg. Consol. &amp; Joint School                                                         (adjusted for BPP)</t>
  </si>
  <si>
    <t>(C)
Local School                                             (adjusted for BPP)</t>
  </si>
  <si>
    <t>(ii) LOCAL MUNICIPAL PURPOSES</t>
  </si>
  <si>
    <t>(A)
Municipal Budget                                                      (adjusted for BPP)</t>
  </si>
  <si>
    <t>(B)
Municipal Open Space Budget</t>
  </si>
  <si>
    <t xml:space="preserve">(C)
Municipal Library
</t>
  </si>
  <si>
    <t>SECTION 12-D</t>
  </si>
  <si>
    <t>SECTION 13</t>
  </si>
  <si>
    <t>REAL PROPERTY EXEMPT FROM TAXATION</t>
  </si>
  <si>
    <t xml:space="preserve">(A)
Public School Property
</t>
  </si>
  <si>
    <t xml:space="preserve">(B)
Other School Property
</t>
  </si>
  <si>
    <t xml:space="preserve">(C)
Public Property
</t>
  </si>
  <si>
    <t xml:space="preserve">
(D)
Church and Charitable Property
</t>
  </si>
  <si>
    <t>(E)
Cemeteries and Graveyards Property</t>
  </si>
  <si>
    <t xml:space="preserve">(F)
Other Exempt Property
</t>
  </si>
  <si>
    <t>(G)
Total Amount Of Exempt Property                                           (Col 13A + 13B +13C + 13D + 13E + 13F)</t>
  </si>
  <si>
    <t>SECTION 14</t>
  </si>
  <si>
    <t>AMOUNT OF MISCELLANEOUS REVENUES TO SUPPORT LOCAL BUDGET</t>
  </si>
  <si>
    <t xml:space="preserve">(A)
Surplus Revenue
</t>
  </si>
  <si>
    <t>(B)
Miscellaneous Revenues Anticipated</t>
  </si>
  <si>
    <t>(C)
Receipts From Delinquent Tax</t>
  </si>
  <si>
    <t>(D)
Total of Miscellaneous Revenues                                                                            (Col 14A + 14B + 14C)</t>
  </si>
  <si>
    <t>SECTION 15</t>
  </si>
  <si>
    <t>DEDUCTIONS ALLOWED</t>
  </si>
  <si>
    <t>(A)
Senior Citizen, Disabled and Surviving Spouse Deductions</t>
  </si>
  <si>
    <t xml:space="preserve">(B)
Veteran / Surviving Spouse of Veteran or Serviceperson Deductions </t>
  </si>
  <si>
    <t>ADDENDUM TO ABSTRACT OF RATABLES -- ASSESSED VALUE OF PARTIAL EXEMPTIONS &amp; ABATMENTS (COLUMN 3)</t>
  </si>
  <si>
    <t>(1)
Pollution Control
N.J.S.A. 54:4-3.56</t>
  </si>
  <si>
    <t>(2)
Fire Suppression
N.J.S.A. 54:4-3.13</t>
  </si>
  <si>
    <t>(3)
Fallout Shelter
N.J.S.A. 54:4-3.48</t>
  </si>
  <si>
    <t>(4)
Water/Sewage Facility
N.J.S.A. 54:4-3.59</t>
  </si>
  <si>
    <t xml:space="preserve">(5)
Renewable Energy
N.J.S.A. 54:4-3.113a - 113g </t>
  </si>
  <si>
    <t>(6)
UEZ Abatement
N.J.S.A. 54:4-3.139</t>
  </si>
  <si>
    <r>
      <t xml:space="preserve">(7)
Home Improvement
</t>
    </r>
    <r>
      <rPr>
        <sz val="8"/>
        <rFont val="Arial"/>
        <family val="2"/>
      </rPr>
      <t>Only to be used until year 2000 (Repealed) 
R.S.54:4-3.95</t>
    </r>
  </si>
  <si>
    <r>
      <t xml:space="preserve">(8)
Multi-Family Dwelling
</t>
    </r>
    <r>
      <rPr>
        <sz val="8"/>
        <rFont val="Arial"/>
        <family val="2"/>
      </rPr>
      <t>Only to be used until year 2000 (Repealed) 
R.S.54:4-3.121</t>
    </r>
  </si>
  <si>
    <t>ADDENDUM TO ABSTRACT OF RATABLES -- ASSESSED VALUE OF PARTIAL EXEMPTIONS &amp; ABATEMENTS (CONTINUED)</t>
  </si>
  <si>
    <r>
      <t xml:space="preserve">(9)
Class 4 Abatement
</t>
    </r>
    <r>
      <rPr>
        <sz val="8"/>
        <rFont val="Arial"/>
        <family val="2"/>
      </rPr>
      <t>Only to be used until year 2000 (Repealed)
R.S.54:4-3.72</t>
    </r>
  </si>
  <si>
    <t>(10)
Dwelling Abatement
N.J.S.A. 40A:21-5</t>
  </si>
  <si>
    <t>(11)
Dwelling Exemption
N.J.S.A. 40A:21-5</t>
  </si>
  <si>
    <t>(12)
New Dwl./Conv Abatement
N.J.S.A. 40A:21-5</t>
  </si>
  <si>
    <t>(13)
New Dwl./Conv Exemption
N.J.S.A. 40A:21-5</t>
  </si>
  <si>
    <t>(16)
Com/Ind Exemption
N.J.S.A. 40A:21-7</t>
  </si>
  <si>
    <t>ADDENDUM:  STATE AID ADJUSTMENT FOR BPP</t>
  </si>
  <si>
    <t>BREAKDOWN OF GENERAL TAX RATE</t>
  </si>
  <si>
    <t>ADDENDUM:  REAP DISTRIBUTION SUMMARY</t>
  </si>
  <si>
    <t>SPECIAL TAXING DISTRICTS</t>
  </si>
  <si>
    <t xml:space="preserve">County Budget BPP Aid                                                               </t>
  </si>
  <si>
    <t>Taxing District</t>
  </si>
  <si>
    <t>(17)
Total Value                                           (sum of 1                                    Through 16)                                             (transfer to Col 3)</t>
  </si>
  <si>
    <t>1301</t>
  </si>
  <si>
    <t>Aberdeen Twp</t>
  </si>
  <si>
    <t>1302</t>
  </si>
  <si>
    <t>Allenhurst Boro</t>
  </si>
  <si>
    <t>1303</t>
  </si>
  <si>
    <t>Allentown Boro</t>
  </si>
  <si>
    <t>1304</t>
  </si>
  <si>
    <t>Asbury Park City</t>
  </si>
  <si>
    <t>1305</t>
  </si>
  <si>
    <t>Atlantic Highlands Boro</t>
  </si>
  <si>
    <t>1306</t>
  </si>
  <si>
    <t>Avon By The Sea Boro</t>
  </si>
  <si>
    <t>1307</t>
  </si>
  <si>
    <t>Belmar Boro</t>
  </si>
  <si>
    <t>1308</t>
  </si>
  <si>
    <t>Bradley Beach Boro</t>
  </si>
  <si>
    <t>1309</t>
  </si>
  <si>
    <t>Brielle Boro</t>
  </si>
  <si>
    <t>1310</t>
  </si>
  <si>
    <t>Colts Neck Twp</t>
  </si>
  <si>
    <t>1311</t>
  </si>
  <si>
    <t>Deal Boro</t>
  </si>
  <si>
    <t>1312</t>
  </si>
  <si>
    <t>Eatontown Boro</t>
  </si>
  <si>
    <t>1313</t>
  </si>
  <si>
    <t>Englishtown Boro</t>
  </si>
  <si>
    <t>1314</t>
  </si>
  <si>
    <t>Fair Haven Boro</t>
  </si>
  <si>
    <t>1315</t>
  </si>
  <si>
    <t>Farmingdale Boro</t>
  </si>
  <si>
    <t>1316</t>
  </si>
  <si>
    <t>Freehold Boro</t>
  </si>
  <si>
    <t>1317</t>
  </si>
  <si>
    <t>Freehold Twp</t>
  </si>
  <si>
    <t>1318</t>
  </si>
  <si>
    <t>Hazlet Twp</t>
  </si>
  <si>
    <t>1319</t>
  </si>
  <si>
    <t>Highlands Boro</t>
  </si>
  <si>
    <t>1320</t>
  </si>
  <si>
    <t>Holmdel Twp</t>
  </si>
  <si>
    <t>1321</t>
  </si>
  <si>
    <t>Howell Twp</t>
  </si>
  <si>
    <t>1322</t>
  </si>
  <si>
    <t>Interlaken Boro</t>
  </si>
  <si>
    <t>1323</t>
  </si>
  <si>
    <t>Keansburg Boro</t>
  </si>
  <si>
    <t>1324</t>
  </si>
  <si>
    <t>Keyport Boro</t>
  </si>
  <si>
    <t>1325</t>
  </si>
  <si>
    <t>Little Silver Boro</t>
  </si>
  <si>
    <t>1326</t>
  </si>
  <si>
    <t>Loch Arbour Village</t>
  </si>
  <si>
    <t>1327</t>
  </si>
  <si>
    <t>Long Branch City</t>
  </si>
  <si>
    <t>1328</t>
  </si>
  <si>
    <t>Manalapan Twp</t>
  </si>
  <si>
    <t>1329</t>
  </si>
  <si>
    <t>Manasquan Boro</t>
  </si>
  <si>
    <t>1330</t>
  </si>
  <si>
    <t>Marlboro Twp</t>
  </si>
  <si>
    <t>1331</t>
  </si>
  <si>
    <t>Matawan Boro</t>
  </si>
  <si>
    <t>1332</t>
  </si>
  <si>
    <t>Middletown Twp</t>
  </si>
  <si>
    <t>1333</t>
  </si>
  <si>
    <t>Millstone Twp</t>
  </si>
  <si>
    <t>1334</t>
  </si>
  <si>
    <t>Monmouth Beach Boro</t>
  </si>
  <si>
    <t>1335</t>
  </si>
  <si>
    <t>Neptune Twp</t>
  </si>
  <si>
    <t>1336</t>
  </si>
  <si>
    <t>Neptune City Boro</t>
  </si>
  <si>
    <t>1337</t>
  </si>
  <si>
    <t>Ocean Twp</t>
  </si>
  <si>
    <t>1338</t>
  </si>
  <si>
    <t>Oceanport Boro</t>
  </si>
  <si>
    <t>1339</t>
  </si>
  <si>
    <t>Red Bank Boro</t>
  </si>
  <si>
    <t>1340</t>
  </si>
  <si>
    <t>Roosevelt Boro</t>
  </si>
  <si>
    <t>1341</t>
  </si>
  <si>
    <t>Rumson Boro</t>
  </si>
  <si>
    <t>1342</t>
  </si>
  <si>
    <t>Sea Bright Boro</t>
  </si>
  <si>
    <t>1343</t>
  </si>
  <si>
    <t>Sea Girt Boro</t>
  </si>
  <si>
    <t>1344</t>
  </si>
  <si>
    <t>Shrewsbury Boro</t>
  </si>
  <si>
    <t>1345</t>
  </si>
  <si>
    <t>Shrewsbury Twp</t>
  </si>
  <si>
    <t>1346</t>
  </si>
  <si>
    <t>Lake Como</t>
  </si>
  <si>
    <t>1347</t>
  </si>
  <si>
    <t>Spring Lake Boro</t>
  </si>
  <si>
    <t>1348</t>
  </si>
  <si>
    <t>Spring Lake Heights Boro</t>
  </si>
  <si>
    <t>1349</t>
  </si>
  <si>
    <t>Tinton Falls Boro</t>
  </si>
  <si>
    <t>1350</t>
  </si>
  <si>
    <t>Union Beach Boro</t>
  </si>
  <si>
    <t>1351</t>
  </si>
  <si>
    <t>Upper Freehold Twp</t>
  </si>
  <si>
    <t>1352</t>
  </si>
  <si>
    <t>Wall Twp</t>
  </si>
  <si>
    <t>1353</t>
  </si>
  <si>
    <t>West Long Branch Boro</t>
  </si>
  <si>
    <t>(i) DISTRICT SCHOOL PURPOSES</t>
  </si>
  <si>
    <t xml:space="preserve">                -  </t>
  </si>
  <si>
    <t xml:space="preserve">                  -  </t>
  </si>
  <si>
    <t xml:space="preserve">                 -  </t>
  </si>
  <si>
    <t xml:space="preserve">                        -  </t>
  </si>
  <si>
    <t>01  ABERDEEN</t>
  </si>
  <si>
    <t>FIRE DIST. #1</t>
  </si>
  <si>
    <t>FIRE DIST. #2</t>
  </si>
  <si>
    <t>GARBAGE DIST. #1</t>
  </si>
  <si>
    <t>07 BELMAR</t>
  </si>
  <si>
    <t>SPEC. IMP. DIST. #1</t>
  </si>
  <si>
    <t>SPEC. IMP. DIST. #2</t>
  </si>
  <si>
    <t>13 ENGLISHTOWN</t>
  </si>
  <si>
    <t>16 FREEHOLD BORO</t>
  </si>
  <si>
    <t>17 FREEHOLD TWP</t>
  </si>
  <si>
    <t xml:space="preserve">18 HAZLET </t>
  </si>
  <si>
    <t>19 HIGHLANDS</t>
  </si>
  <si>
    <t>BUSINESS IMP. DIST. #1</t>
  </si>
  <si>
    <t xml:space="preserve">21 HOWELL </t>
  </si>
  <si>
    <t>FIRE DIST. #1 SQUANKUM</t>
  </si>
  <si>
    <t>FIRE DIST. #2 ADELPHIA</t>
  </si>
  <si>
    <t>FIRE DIST. #3 SOUTHARD</t>
  </si>
  <si>
    <t>FIRE DIST. #4 RAMTOWN</t>
  </si>
  <si>
    <t>FIRE DIST. #5 FREEWOOD</t>
  </si>
  <si>
    <t xml:space="preserve">24 KEYPORT </t>
  </si>
  <si>
    <t xml:space="preserve">28 MANALAPAN </t>
  </si>
  <si>
    <t xml:space="preserve">29 MANASQUAN </t>
  </si>
  <si>
    <t xml:space="preserve">30 MARLBORO </t>
  </si>
  <si>
    <t>FIRE DIST. #3</t>
  </si>
  <si>
    <t xml:space="preserve">32 MIDDLETOWN </t>
  </si>
  <si>
    <t xml:space="preserve">33 MILLSTONE </t>
  </si>
  <si>
    <t>35 NEPTUNE TWP</t>
  </si>
  <si>
    <t xml:space="preserve">37 OCEAN </t>
  </si>
  <si>
    <t xml:space="preserve">39 RED BANK </t>
  </si>
  <si>
    <t>SPEC. IMP. DIST. #3</t>
  </si>
  <si>
    <t>SPEC. IMP. DIST. #4</t>
  </si>
  <si>
    <t>SPEC. IMP. DIST. #5</t>
  </si>
  <si>
    <t xml:space="preserve">47 SPRING LAKE </t>
  </si>
  <si>
    <t>BUSINESS IMP. DIST. #2</t>
  </si>
  <si>
    <t>BUSINESS IMP. DIST. #3</t>
  </si>
  <si>
    <t xml:space="preserve">49 TINTON FALLS </t>
  </si>
  <si>
    <t xml:space="preserve">52 WALL </t>
  </si>
  <si>
    <t>(14)
Mult. Dwell Exemption
N.J.S.A. 40A:21-6</t>
  </si>
  <si>
    <t>(15)
Mult. Dwell Abatement 
N.J.S.A. 40A:21-6</t>
  </si>
  <si>
    <t xml:space="preserve">               -  </t>
  </si>
</sst>
</file>

<file path=xl/styles.xml><?xml version="1.0" encoding="utf-8"?>
<styleSheet xmlns="http://schemas.openxmlformats.org/spreadsheetml/2006/main">
  <numFmts count="4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0_);_(* \(#,##0.000\);_(* &quot;-&quot;??_);_(@_)"/>
    <numFmt numFmtId="165" formatCode="_(* #,##0.0000_);_(* \(#,##0.0000\);_(* &quot;-&quot;??_);_(@_)"/>
    <numFmt numFmtId="166" formatCode="_(* #,##0.00000_);_(* \(#,##0.00000\);_(* &quot;-&quot;??_);_(@_)"/>
    <numFmt numFmtId="167" formatCode="#,##0.0"/>
    <numFmt numFmtId="168" formatCode="#,##0.000"/>
    <numFmt numFmtId="169" formatCode="#,##0.0000"/>
    <numFmt numFmtId="170" formatCode="#,##0.00000"/>
    <numFmt numFmtId="171" formatCode="#,##0.000000"/>
    <numFmt numFmtId="172" formatCode="#,##0.0000000"/>
    <numFmt numFmtId="173" formatCode="#,##0.00000000"/>
    <numFmt numFmtId="174" formatCode="#,##0.000000000"/>
    <numFmt numFmtId="175" formatCode="#,##0.0000000000"/>
    <numFmt numFmtId="176" formatCode="#,##0.00000000000"/>
    <numFmt numFmtId="177" formatCode="#,##0.000000000000"/>
    <numFmt numFmtId="178" formatCode="#,##0.0000000000000"/>
    <numFmt numFmtId="179" formatCode="#,##0.00000000000000"/>
    <numFmt numFmtId="180" formatCode="_(* #,##0.000000_);_(* \(#,##0.000000\);_(* &quot;-&quot;??_);_(@_)"/>
    <numFmt numFmtId="181" formatCode="_(* #,##0.0000000_);_(* \(#,##0.0000000\);_(* &quot;-&quot;??_);_(@_)"/>
    <numFmt numFmtId="182" formatCode="_(* #,##0.00000000_);_(* \(#,##0.00000000\);_(* &quot;-&quot;??_);_(@_)"/>
    <numFmt numFmtId="183" formatCode="_(* #,##0.000000000_);_(* \(#,##0.000000000\);_(* &quot;-&quot;??_);_(@_)"/>
    <numFmt numFmtId="184" formatCode="_(* #,##0.0000000000_);_(* \(#,##0.0000000000\);_(* &quot;-&quot;??_);_(@_)"/>
    <numFmt numFmtId="185" formatCode="_(* #,##0.00000000000_);_(* \(#,##0.00000000000\);_(* &quot;-&quot;??_);_(@_)"/>
    <numFmt numFmtId="186" formatCode="_(&quot;$&quot;* #,##0.0_);_(&quot;$&quot;* \(#,##0.0\);_(&quot;$&quot;* &quot;-&quot;??_);_(@_)"/>
    <numFmt numFmtId="187" formatCode="_(&quot;$&quot;* #,##0_);_(&quot;$&quot;* \(#,##0\);_(&quot;$&quot;* &quot;-&quot;??_);_(@_)"/>
    <numFmt numFmtId="188" formatCode="_(* #,##0.0_);_(* \(#,##0.0\);_(* &quot;-&quot;??_);_(@_)"/>
    <numFmt numFmtId="189" formatCode="_(* #,##0_);_(* \(#,##0\);_(* &quot;-&quot;??_);_(@_)"/>
    <numFmt numFmtId="190" formatCode="0.0"/>
    <numFmt numFmtId="191" formatCode="0.0000000000"/>
    <numFmt numFmtId="192" formatCode="0.00000000000"/>
    <numFmt numFmtId="193" formatCode="0.000"/>
    <numFmt numFmtId="194" formatCode="0.0000"/>
    <numFmt numFmtId="195" formatCode="0.00000"/>
    <numFmt numFmtId="196" formatCode="0.000000"/>
    <numFmt numFmtId="197" formatCode="0.0000000"/>
    <numFmt numFmtId="198" formatCode="0.00000000"/>
    <numFmt numFmtId="199" formatCode="0.000000000"/>
    <numFmt numFmtId="200" formatCode="0.00_);\(0.00\)"/>
    <numFmt numFmtId="201" formatCode="#,##0.000000000000000"/>
  </numFmts>
  <fonts count="41">
    <font>
      <sz val="10"/>
      <name val="Arial"/>
      <family val="0"/>
    </font>
    <font>
      <b/>
      <sz val="10"/>
      <name val="Arial"/>
      <family val="0"/>
    </font>
    <font>
      <i/>
      <sz val="10"/>
      <name val="Arial"/>
      <family val="0"/>
    </font>
    <font>
      <b/>
      <i/>
      <sz val="10"/>
      <name val="Arial"/>
      <family val="0"/>
    </font>
    <font>
      <sz val="9"/>
      <name val="Arial"/>
      <family val="2"/>
    </font>
    <font>
      <u val="single"/>
      <sz val="9"/>
      <color indexed="36"/>
      <name val="Arial"/>
      <family val="2"/>
    </font>
    <font>
      <u val="single"/>
      <sz val="9"/>
      <color indexed="12"/>
      <name val="Arial"/>
      <family val="2"/>
    </font>
    <font>
      <sz val="8"/>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indexed="43"/>
        <bgColor indexed="64"/>
      </patternFill>
    </fill>
    <fill>
      <patternFill patternType="solid">
        <fgColor theme="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color indexed="63"/>
      </bottom>
    </border>
    <border>
      <left>
        <color indexed="63"/>
      </left>
      <right style="thin"/>
      <top style="thin"/>
      <bottom style="thin"/>
    </border>
    <border>
      <left style="thin"/>
      <right>
        <color indexed="63"/>
      </right>
      <top style="thin"/>
      <bottom>
        <color indexed="63"/>
      </bottom>
    </border>
    <border>
      <left style="thin"/>
      <right>
        <color indexed="63"/>
      </right>
      <top style="thin"/>
      <bottom style="thin"/>
    </border>
    <border>
      <left>
        <color indexed="63"/>
      </left>
      <right style="thin"/>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color indexed="63"/>
      </top>
      <bottom style="thin"/>
    </border>
    <border>
      <left style="thin"/>
      <right style="thin"/>
      <top>
        <color indexed="63"/>
      </top>
      <bottom style="thin"/>
    </border>
    <border>
      <left>
        <color indexed="63"/>
      </left>
      <right>
        <color indexed="63"/>
      </right>
      <top style="thin"/>
      <bottom style="thin"/>
    </border>
    <border>
      <left>
        <color indexed="63"/>
      </left>
      <right>
        <color indexed="63"/>
      </right>
      <top style="thin"/>
      <bottom>
        <color indexed="63"/>
      </bottom>
    </border>
    <border>
      <left style="thin"/>
      <right style="thin"/>
      <top style="thin"/>
      <bottom>
        <color indexed="63"/>
      </bottom>
    </border>
    <border>
      <left style="thin"/>
      <right>
        <color indexed="63"/>
      </right>
      <top>
        <color indexed="63"/>
      </top>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5"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6"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0" borderId="0">
      <alignment/>
      <protection/>
    </xf>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133">
    <xf numFmtId="0" fontId="0" fillId="0" borderId="0" xfId="0" applyAlignment="1">
      <alignment/>
    </xf>
    <xf numFmtId="0" fontId="0" fillId="33" borderId="0" xfId="0" applyFill="1" applyAlignment="1">
      <alignment/>
    </xf>
    <xf numFmtId="0" fontId="0" fillId="33" borderId="0" xfId="0" applyFill="1" applyBorder="1" applyAlignment="1">
      <alignment/>
    </xf>
    <xf numFmtId="0" fontId="0" fillId="33" borderId="0" xfId="0" applyFill="1" applyAlignment="1">
      <alignment horizontal="center" vertical="center" wrapText="1"/>
    </xf>
    <xf numFmtId="0" fontId="0" fillId="33" borderId="0" xfId="0" applyFill="1" applyBorder="1" applyAlignment="1">
      <alignment horizontal="center" vertical="center" wrapText="1"/>
    </xf>
    <xf numFmtId="0" fontId="0" fillId="33" borderId="0" xfId="0" applyFont="1" applyFill="1" applyAlignment="1" quotePrefix="1">
      <alignment horizontal="left"/>
    </xf>
    <xf numFmtId="0" fontId="0" fillId="33" borderId="0" xfId="0" applyFont="1" applyFill="1" applyAlignment="1">
      <alignment/>
    </xf>
    <xf numFmtId="3" fontId="0" fillId="33" borderId="0" xfId="0" applyNumberFormat="1" applyFill="1" applyAlignment="1">
      <alignment horizontal="center"/>
    </xf>
    <xf numFmtId="164" fontId="0" fillId="33" borderId="0" xfId="42" applyNumberFormat="1" applyFont="1" applyFill="1" applyAlignment="1">
      <alignment horizontal="center"/>
    </xf>
    <xf numFmtId="2" fontId="0" fillId="33" borderId="0" xfId="0" applyNumberFormat="1" applyFill="1" applyAlignment="1">
      <alignment horizontal="center"/>
    </xf>
    <xf numFmtId="4" fontId="0" fillId="33" borderId="0" xfId="0" applyNumberFormat="1" applyFill="1" applyAlignment="1">
      <alignment horizontal="center"/>
    </xf>
    <xf numFmtId="0" fontId="0" fillId="33" borderId="0" xfId="0" applyFill="1" applyAlignment="1">
      <alignment horizontal="center"/>
    </xf>
    <xf numFmtId="189" fontId="0" fillId="33" borderId="0" xfId="42" applyNumberFormat="1" applyFont="1" applyFill="1" applyAlignment="1">
      <alignment/>
    </xf>
    <xf numFmtId="3" fontId="0" fillId="33" borderId="0" xfId="0" applyNumberFormat="1" applyFill="1" applyAlignment="1">
      <alignment/>
    </xf>
    <xf numFmtId="164" fontId="0" fillId="33" borderId="0" xfId="42" applyNumberFormat="1" applyFont="1" applyFill="1" applyAlignment="1">
      <alignment/>
    </xf>
    <xf numFmtId="189" fontId="0" fillId="33" borderId="0" xfId="42" applyNumberFormat="1" applyFont="1" applyFill="1" applyAlignment="1">
      <alignment horizontal="right"/>
    </xf>
    <xf numFmtId="3" fontId="0" fillId="33" borderId="0" xfId="0" applyNumberFormat="1" applyFont="1" applyFill="1" applyAlignment="1">
      <alignment horizontal="right"/>
    </xf>
    <xf numFmtId="164" fontId="0" fillId="33" borderId="0" xfId="42" applyNumberFormat="1" applyFont="1" applyFill="1" applyAlignment="1">
      <alignment horizontal="right"/>
    </xf>
    <xf numFmtId="2" fontId="0" fillId="33" borderId="0" xfId="0" applyNumberFormat="1" applyFont="1" applyFill="1" applyAlignment="1">
      <alignment horizontal="right"/>
    </xf>
    <xf numFmtId="4" fontId="0" fillId="33" borderId="0" xfId="0" applyNumberFormat="1" applyFont="1" applyFill="1" applyAlignment="1">
      <alignment horizontal="right"/>
    </xf>
    <xf numFmtId="0" fontId="0" fillId="33" borderId="0" xfId="0" applyFont="1" applyFill="1" applyAlignment="1">
      <alignment horizontal="right"/>
    </xf>
    <xf numFmtId="0" fontId="0" fillId="33" borderId="0" xfId="0" applyFill="1" applyBorder="1" applyAlignment="1">
      <alignment horizontal="right"/>
    </xf>
    <xf numFmtId="189" fontId="0" fillId="33" borderId="0" xfId="42" applyNumberFormat="1" applyFont="1" applyFill="1" applyAlignment="1">
      <alignment horizontal="center"/>
    </xf>
    <xf numFmtId="3" fontId="0" fillId="33" borderId="0" xfId="0" applyNumberFormat="1" applyFont="1" applyFill="1" applyAlignment="1">
      <alignment horizontal="center"/>
    </xf>
    <xf numFmtId="164" fontId="0" fillId="33" borderId="0" xfId="42" applyNumberFormat="1" applyFont="1" applyFill="1" applyAlignment="1">
      <alignment horizontal="center"/>
    </xf>
    <xf numFmtId="2" fontId="0" fillId="33" borderId="0" xfId="0" applyNumberFormat="1" applyFont="1" applyFill="1" applyAlignment="1">
      <alignment horizontal="center"/>
    </xf>
    <xf numFmtId="4" fontId="0" fillId="33" borderId="0" xfId="0" applyNumberFormat="1" applyFont="1" applyFill="1" applyAlignment="1">
      <alignment horizontal="center"/>
    </xf>
    <xf numFmtId="0" fontId="0" fillId="33" borderId="0" xfId="0" applyFont="1" applyFill="1" applyAlignment="1">
      <alignment horizontal="center"/>
    </xf>
    <xf numFmtId="2" fontId="0" fillId="33" borderId="0" xfId="0" applyNumberFormat="1" applyFill="1" applyAlignment="1">
      <alignment/>
    </xf>
    <xf numFmtId="4" fontId="0" fillId="33" borderId="0" xfId="0" applyNumberFormat="1" applyFill="1" applyAlignment="1">
      <alignment/>
    </xf>
    <xf numFmtId="175" fontId="0" fillId="33" borderId="0" xfId="0" applyNumberFormat="1" applyFont="1" applyFill="1" applyAlignment="1">
      <alignment horizontal="right"/>
    </xf>
    <xf numFmtId="3" fontId="0" fillId="34" borderId="10" xfId="0" applyNumberFormat="1" applyFont="1" applyFill="1" applyBorder="1" applyAlignment="1">
      <alignment horizontal="right" vertical="center"/>
    </xf>
    <xf numFmtId="3" fontId="0" fillId="0" borderId="0" xfId="0" applyNumberFormat="1" applyFont="1" applyFill="1" applyBorder="1" applyAlignment="1">
      <alignment horizontal="left" vertical="center"/>
    </xf>
    <xf numFmtId="0" fontId="0" fillId="34" borderId="10" xfId="0" applyFill="1" applyBorder="1" applyAlignment="1">
      <alignment horizontal="center" vertical="center" wrapText="1"/>
    </xf>
    <xf numFmtId="3" fontId="0" fillId="34" borderId="10" xfId="42" applyNumberFormat="1" applyFont="1" applyFill="1" applyBorder="1" applyAlignment="1">
      <alignment horizontal="right" vertical="center"/>
    </xf>
    <xf numFmtId="4" fontId="0" fillId="34" borderId="10" xfId="42" applyNumberFormat="1" applyFont="1" applyFill="1" applyBorder="1" applyAlignment="1">
      <alignment horizontal="right" vertical="center"/>
    </xf>
    <xf numFmtId="43" fontId="0" fillId="34" borderId="10" xfId="42" applyFont="1" applyFill="1" applyBorder="1" applyAlignment="1">
      <alignment horizontal="right" vertical="center"/>
    </xf>
    <xf numFmtId="4" fontId="0" fillId="35" borderId="10" xfId="42" applyNumberFormat="1" applyFont="1" applyFill="1" applyBorder="1" applyAlignment="1">
      <alignment horizontal="right" vertical="center"/>
    </xf>
    <xf numFmtId="0" fontId="0" fillId="0" borderId="0" xfId="0" applyFill="1" applyBorder="1" applyAlignment="1">
      <alignment horizontal="center" vertical="center" wrapText="1"/>
    </xf>
    <xf numFmtId="189" fontId="0" fillId="33" borderId="10" xfId="42" applyNumberFormat="1" applyFont="1" applyFill="1" applyBorder="1" applyAlignment="1">
      <alignment horizontal="center" vertical="center" wrapText="1"/>
    </xf>
    <xf numFmtId="0" fontId="0" fillId="33" borderId="10" xfId="0" applyFill="1" applyBorder="1" applyAlignment="1">
      <alignment/>
    </xf>
    <xf numFmtId="3" fontId="0" fillId="33" borderId="11" xfId="42" applyNumberFormat="1" applyFont="1" applyFill="1" applyBorder="1" applyAlignment="1">
      <alignment horizontal="right" vertical="center"/>
    </xf>
    <xf numFmtId="4" fontId="0" fillId="33" borderId="0" xfId="0" applyNumberFormat="1" applyFont="1" applyFill="1" applyBorder="1" applyAlignment="1">
      <alignment horizontal="right"/>
    </xf>
    <xf numFmtId="4" fontId="0" fillId="33" borderId="0" xfId="0" applyNumberFormat="1" applyFont="1" applyFill="1" applyBorder="1" applyAlignment="1">
      <alignment horizontal="center"/>
    </xf>
    <xf numFmtId="4" fontId="0" fillId="33" borderId="0" xfId="0" applyNumberFormat="1" applyFill="1" applyBorder="1" applyAlignment="1">
      <alignment horizontal="center"/>
    </xf>
    <xf numFmtId="4" fontId="0" fillId="33" borderId="0" xfId="0" applyNumberFormat="1" applyFill="1" applyBorder="1" applyAlignment="1">
      <alignment/>
    </xf>
    <xf numFmtId="49" fontId="0" fillId="33" borderId="0" xfId="0" applyNumberFormat="1" applyFill="1" applyBorder="1" applyAlignment="1">
      <alignment horizontal="center" vertical="center" wrapText="1"/>
    </xf>
    <xf numFmtId="189" fontId="0" fillId="34" borderId="0" xfId="42" applyNumberFormat="1" applyFont="1" applyFill="1" applyAlignment="1">
      <alignment/>
    </xf>
    <xf numFmtId="43" fontId="0" fillId="34" borderId="10" xfId="42" applyNumberFormat="1" applyFont="1" applyFill="1" applyBorder="1" applyAlignment="1">
      <alignment horizontal="right" vertical="center"/>
    </xf>
    <xf numFmtId="0" fontId="0" fillId="34" borderId="10" xfId="0" applyFont="1" applyFill="1" applyBorder="1" applyAlignment="1">
      <alignment horizontal="center" vertical="center" wrapText="1"/>
    </xf>
    <xf numFmtId="0" fontId="0" fillId="34" borderId="12" xfId="0" applyFill="1" applyBorder="1" applyAlignment="1">
      <alignment horizontal="center" vertical="center" wrapText="1"/>
    </xf>
    <xf numFmtId="0" fontId="0" fillId="34" borderId="10" xfId="0" applyFill="1" applyBorder="1" applyAlignment="1">
      <alignment horizontal="center"/>
    </xf>
    <xf numFmtId="0" fontId="0" fillId="34" borderId="13" xfId="0" applyFill="1" applyBorder="1" applyAlignment="1">
      <alignment horizontal="center"/>
    </xf>
    <xf numFmtId="0" fontId="0" fillId="34" borderId="14" xfId="0" applyFill="1" applyBorder="1" applyAlignment="1">
      <alignment horizontal="center"/>
    </xf>
    <xf numFmtId="0" fontId="0" fillId="33" borderId="0" xfId="0" applyFill="1" applyBorder="1" applyAlignment="1">
      <alignment horizontal="center" vertical="center"/>
    </xf>
    <xf numFmtId="0" fontId="1" fillId="0" borderId="15" xfId="0" applyFont="1" applyFill="1" applyBorder="1" applyAlignment="1">
      <alignment vertical="center" wrapText="1"/>
    </xf>
    <xf numFmtId="0" fontId="0" fillId="0" borderId="0" xfId="0" applyFill="1" applyBorder="1" applyAlignment="1" quotePrefix="1">
      <alignment horizontal="center" vertical="center" wrapText="1"/>
    </xf>
    <xf numFmtId="0" fontId="0" fillId="33" borderId="0" xfId="0" applyFill="1" applyBorder="1" applyAlignment="1" quotePrefix="1">
      <alignment horizontal="center" vertical="center" wrapText="1"/>
    </xf>
    <xf numFmtId="3" fontId="0" fillId="33" borderId="0" xfId="0" applyNumberFormat="1" applyFont="1" applyFill="1" applyAlignment="1">
      <alignment horizontal="left"/>
    </xf>
    <xf numFmtId="193" fontId="1" fillId="33" borderId="0" xfId="0" applyNumberFormat="1" applyFont="1" applyFill="1" applyBorder="1" applyAlignment="1">
      <alignment horizontal="center" vertical="center"/>
    </xf>
    <xf numFmtId="4" fontId="0" fillId="33" borderId="0" xfId="0" applyNumberFormat="1" applyFont="1" applyFill="1" applyAlignment="1">
      <alignment/>
    </xf>
    <xf numFmtId="43" fontId="0" fillId="36" borderId="12" xfId="42" applyFont="1" applyFill="1" applyBorder="1" applyAlignment="1">
      <alignment/>
    </xf>
    <xf numFmtId="49" fontId="1" fillId="36" borderId="10" xfId="0" applyNumberFormat="1" applyFont="1" applyFill="1" applyBorder="1" applyAlignment="1">
      <alignment horizontal="center"/>
    </xf>
    <xf numFmtId="0" fontId="1" fillId="36" borderId="10" xfId="0" applyFont="1" applyFill="1" applyBorder="1" applyAlignment="1">
      <alignment/>
    </xf>
    <xf numFmtId="189" fontId="0" fillId="36" borderId="10" xfId="42" applyNumberFormat="1" applyFont="1" applyFill="1" applyBorder="1" applyAlignment="1">
      <alignment/>
    </xf>
    <xf numFmtId="3" fontId="0" fillId="36" borderId="10" xfId="0" applyNumberFormat="1" applyFont="1" applyFill="1" applyBorder="1" applyAlignment="1">
      <alignment horizontal="right" vertical="center"/>
    </xf>
    <xf numFmtId="3" fontId="0" fillId="36" borderId="10" xfId="57" applyNumberFormat="1" applyFont="1" applyFill="1" applyBorder="1" applyAlignment="1">
      <alignment horizontal="right"/>
      <protection/>
    </xf>
    <xf numFmtId="3" fontId="0" fillId="36" borderId="10" xfId="0" applyNumberFormat="1" applyFont="1" applyFill="1" applyBorder="1" applyAlignment="1">
      <alignment horizontal="right"/>
    </xf>
    <xf numFmtId="3" fontId="0" fillId="36" borderId="10" xfId="57" applyNumberFormat="1" applyFill="1" applyBorder="1">
      <alignment/>
      <protection/>
    </xf>
    <xf numFmtId="193" fontId="0" fillId="36" borderId="10" xfId="0" applyNumberFormat="1" applyFont="1" applyFill="1" applyBorder="1" applyAlignment="1">
      <alignment horizontal="center" vertical="center"/>
    </xf>
    <xf numFmtId="2" fontId="0" fillId="36" borderId="10" xfId="0" applyNumberFormat="1" applyFont="1" applyFill="1" applyBorder="1" applyAlignment="1">
      <alignment horizontal="right"/>
    </xf>
    <xf numFmtId="0" fontId="0" fillId="36" borderId="10" xfId="0" applyFont="1" applyFill="1" applyBorder="1" applyAlignment="1">
      <alignment horizontal="right" vertical="center"/>
    </xf>
    <xf numFmtId="3" fontId="0" fillId="36" borderId="10" xfId="0" applyNumberFormat="1" applyFill="1" applyBorder="1" applyAlignment="1">
      <alignment/>
    </xf>
    <xf numFmtId="189" fontId="0" fillId="36" borderId="10" xfId="42" applyNumberFormat="1" applyFont="1" applyFill="1" applyBorder="1" applyAlignment="1">
      <alignment horizontal="right" vertical="center" wrapText="1"/>
    </xf>
    <xf numFmtId="43" fontId="0" fillId="36" borderId="10" xfId="42" applyFont="1" applyFill="1" applyBorder="1" applyAlignment="1">
      <alignment horizontal="right" vertical="center"/>
    </xf>
    <xf numFmtId="43" fontId="0" fillId="36" borderId="10" xfId="42" applyFont="1" applyFill="1" applyBorder="1" applyAlignment="1">
      <alignment/>
    </xf>
    <xf numFmtId="43" fontId="0" fillId="36" borderId="12" xfId="42" applyFont="1" applyFill="1" applyBorder="1" applyAlignment="1">
      <alignment/>
    </xf>
    <xf numFmtId="0" fontId="0" fillId="36" borderId="10" xfId="0" applyFill="1" applyBorder="1" applyAlignment="1">
      <alignment horizontal="center" vertical="center" wrapText="1"/>
    </xf>
    <xf numFmtId="4" fontId="0" fillId="36" borderId="10" xfId="0" applyNumberFormat="1" applyFont="1" applyFill="1" applyBorder="1" applyAlignment="1">
      <alignment horizontal="right" vertical="center"/>
    </xf>
    <xf numFmtId="39" fontId="0" fillId="36" borderId="10" xfId="42" applyNumberFormat="1" applyFont="1" applyFill="1" applyBorder="1" applyAlignment="1">
      <alignment horizontal="right" vertical="center"/>
    </xf>
    <xf numFmtId="4" fontId="0" fillId="36" borderId="10" xfId="57" applyNumberFormat="1" applyFill="1" applyBorder="1">
      <alignment/>
      <protection/>
    </xf>
    <xf numFmtId="4" fontId="0" fillId="36" borderId="10" xfId="0" applyNumberFormat="1" applyFont="1" applyFill="1" applyBorder="1" applyAlignment="1" quotePrefix="1">
      <alignment horizontal="right" vertical="center"/>
    </xf>
    <xf numFmtId="189" fontId="0" fillId="36" borderId="10" xfId="42" applyNumberFormat="1" applyFont="1" applyFill="1" applyBorder="1" applyAlignment="1">
      <alignment horizontal="center" vertical="center" wrapText="1"/>
    </xf>
    <xf numFmtId="3" fontId="0" fillId="36" borderId="10" xfId="42" applyNumberFormat="1" applyFont="1" applyFill="1" applyBorder="1" applyAlignment="1">
      <alignment horizontal="right" vertical="center"/>
    </xf>
    <xf numFmtId="43" fontId="0" fillId="36" borderId="10" xfId="42" applyNumberFormat="1" applyFont="1" applyFill="1" applyBorder="1" applyAlignment="1">
      <alignment horizontal="center" vertical="center" wrapText="1"/>
    </xf>
    <xf numFmtId="43" fontId="0" fillId="36" borderId="10" xfId="0" applyNumberFormat="1" applyFont="1" applyFill="1" applyBorder="1" applyAlignment="1">
      <alignment horizontal="right" vertical="center"/>
    </xf>
    <xf numFmtId="189" fontId="0" fillId="36" borderId="10" xfId="42" applyNumberFormat="1" applyFont="1" applyFill="1" applyBorder="1" applyAlignment="1">
      <alignment horizontal="center" vertical="center" wrapText="1"/>
    </xf>
    <xf numFmtId="0" fontId="0" fillId="36" borderId="11" xfId="0" applyFill="1" applyBorder="1" applyAlignment="1">
      <alignment horizontal="center" vertical="center" wrapText="1"/>
    </xf>
    <xf numFmtId="193" fontId="0" fillId="36" borderId="10" xfId="0" applyNumberFormat="1" applyFill="1" applyBorder="1" applyAlignment="1">
      <alignment horizontal="center" vertical="center" wrapText="1"/>
    </xf>
    <xf numFmtId="2" fontId="0" fillId="36" borderId="10" xfId="0" applyNumberFormat="1" applyFont="1" applyFill="1" applyBorder="1" applyAlignment="1">
      <alignment horizontal="center" vertical="center"/>
    </xf>
    <xf numFmtId="0" fontId="0" fillId="36" borderId="16" xfId="0" applyFill="1" applyBorder="1" applyAlignment="1">
      <alignment horizontal="center" vertical="center" wrapText="1"/>
    </xf>
    <xf numFmtId="49" fontId="0" fillId="36" borderId="0" xfId="0" applyNumberFormat="1" applyFill="1" applyBorder="1" applyAlignment="1">
      <alignment horizontal="center" vertical="center" wrapText="1"/>
    </xf>
    <xf numFmtId="0" fontId="1" fillId="36" borderId="10" xfId="57" applyFont="1" applyFill="1" applyBorder="1" applyAlignment="1">
      <alignment horizontal="left" vertical="center" wrapText="1"/>
      <protection/>
    </xf>
    <xf numFmtId="0" fontId="1" fillId="36" borderId="10" xfId="57" applyFont="1" applyFill="1" applyBorder="1" applyAlignment="1">
      <alignment horizontal="center" vertical="center" wrapText="1"/>
      <protection/>
    </xf>
    <xf numFmtId="189" fontId="1" fillId="36" borderId="10" xfId="42" applyNumberFormat="1" applyFont="1" applyFill="1" applyBorder="1" applyAlignment="1">
      <alignment horizontal="center" vertical="center"/>
    </xf>
    <xf numFmtId="193" fontId="1" fillId="36" borderId="10" xfId="0" applyNumberFormat="1" applyFont="1" applyFill="1" applyBorder="1" applyAlignment="1">
      <alignment horizontal="center" vertical="center"/>
    </xf>
    <xf numFmtId="0" fontId="0" fillId="36" borderId="0" xfId="0" applyFill="1" applyBorder="1" applyAlignment="1">
      <alignment horizontal="center" vertical="center" wrapText="1"/>
    </xf>
    <xf numFmtId="0" fontId="0" fillId="36" borderId="17" xfId="0" applyFill="1" applyBorder="1" applyAlignment="1">
      <alignment horizontal="center" vertical="center" wrapText="1"/>
    </xf>
    <xf numFmtId="37" fontId="0" fillId="36" borderId="10" xfId="42" applyNumberFormat="1" applyFont="1" applyFill="1" applyBorder="1" applyAlignment="1">
      <alignment/>
    </xf>
    <xf numFmtId="0" fontId="1" fillId="36" borderId="0" xfId="0" applyFont="1" applyFill="1" applyBorder="1" applyAlignment="1">
      <alignment horizontal="center" vertical="center"/>
    </xf>
    <xf numFmtId="193" fontId="1" fillId="36" borderId="0" xfId="0" applyNumberFormat="1" applyFont="1" applyFill="1" applyBorder="1" applyAlignment="1">
      <alignment horizontal="center" vertical="center"/>
    </xf>
    <xf numFmtId="0" fontId="0" fillId="34" borderId="10" xfId="0" applyFont="1" applyFill="1" applyBorder="1" applyAlignment="1">
      <alignment horizontal="center"/>
    </xf>
    <xf numFmtId="0" fontId="1" fillId="34" borderId="0" xfId="0" applyFont="1" applyFill="1" applyBorder="1" applyAlignment="1">
      <alignment horizontal="center" vertical="center" wrapText="1"/>
    </xf>
    <xf numFmtId="0" fontId="1" fillId="34" borderId="18" xfId="0" applyFont="1" applyFill="1" applyBorder="1" applyAlignment="1">
      <alignment horizontal="center" vertical="center" wrapText="1"/>
    </xf>
    <xf numFmtId="0" fontId="1" fillId="34" borderId="19" xfId="0" applyFont="1" applyFill="1" applyBorder="1" applyAlignment="1">
      <alignment horizontal="center" vertical="center"/>
    </xf>
    <xf numFmtId="0" fontId="1" fillId="34" borderId="10" xfId="0" applyFont="1" applyFill="1" applyBorder="1" applyAlignment="1">
      <alignment horizontal="center" vertical="center"/>
    </xf>
    <xf numFmtId="0" fontId="1" fillId="34" borderId="0" xfId="0" applyFont="1" applyFill="1" applyBorder="1" applyAlignment="1">
      <alignment horizontal="center" vertical="center"/>
    </xf>
    <xf numFmtId="0" fontId="1" fillId="34" borderId="18" xfId="0" applyFont="1" applyFill="1" applyBorder="1" applyAlignment="1">
      <alignment horizontal="center" vertical="center"/>
    </xf>
    <xf numFmtId="0" fontId="0" fillId="34" borderId="10" xfId="0" applyFill="1" applyBorder="1" applyAlignment="1">
      <alignment horizontal="center" vertical="center" wrapText="1"/>
    </xf>
    <xf numFmtId="0" fontId="0" fillId="34" borderId="14" xfId="0" applyFill="1" applyBorder="1" applyAlignment="1">
      <alignment horizontal="center"/>
    </xf>
    <xf numFmtId="0" fontId="0" fillId="34" borderId="20" xfId="0" applyFill="1" applyBorder="1" applyAlignment="1">
      <alignment horizontal="center"/>
    </xf>
    <xf numFmtId="0" fontId="0" fillId="34" borderId="12" xfId="0" applyFill="1" applyBorder="1" applyAlignment="1">
      <alignment horizontal="center"/>
    </xf>
    <xf numFmtId="49" fontId="0" fillId="34" borderId="10" xfId="0" applyNumberFormat="1" applyFill="1" applyBorder="1" applyAlignment="1">
      <alignment horizontal="center" vertical="center" wrapText="1"/>
    </xf>
    <xf numFmtId="49" fontId="0" fillId="34" borderId="21" xfId="0" applyNumberFormat="1" applyFill="1" applyBorder="1" applyAlignment="1">
      <alignment horizontal="center" vertical="center" wrapText="1"/>
    </xf>
    <xf numFmtId="49" fontId="0" fillId="34" borderId="0" xfId="0" applyNumberFormat="1" applyFill="1" applyBorder="1" applyAlignment="1">
      <alignment horizontal="center" vertical="center" wrapText="1"/>
    </xf>
    <xf numFmtId="49" fontId="0" fillId="34" borderId="18" xfId="0" applyNumberFormat="1" applyFill="1" applyBorder="1" applyAlignment="1">
      <alignment horizontal="center" vertical="center" wrapText="1"/>
    </xf>
    <xf numFmtId="0" fontId="0" fillId="0" borderId="10" xfId="0" applyBorder="1" applyAlignment="1">
      <alignment/>
    </xf>
    <xf numFmtId="0" fontId="0" fillId="34" borderId="10" xfId="0" applyFill="1" applyBorder="1" applyAlignment="1">
      <alignment horizontal="center"/>
    </xf>
    <xf numFmtId="0" fontId="0" fillId="34" borderId="21" xfId="0" applyFill="1" applyBorder="1" applyAlignment="1">
      <alignment horizontal="center" vertical="center" wrapText="1"/>
    </xf>
    <xf numFmtId="0" fontId="0" fillId="34" borderId="0" xfId="0" applyFill="1" applyBorder="1" applyAlignment="1">
      <alignment horizontal="center" vertical="center" wrapText="1"/>
    </xf>
    <xf numFmtId="0" fontId="0" fillId="34" borderId="18" xfId="0" applyFill="1" applyBorder="1" applyAlignment="1">
      <alignment horizontal="center" vertical="center" wrapText="1"/>
    </xf>
    <xf numFmtId="0" fontId="0" fillId="34" borderId="22" xfId="0" applyFill="1" applyBorder="1" applyAlignment="1">
      <alignment horizontal="center" vertical="center" wrapText="1"/>
    </xf>
    <xf numFmtId="0" fontId="0" fillId="34" borderId="11" xfId="0" applyFill="1" applyBorder="1" applyAlignment="1">
      <alignment horizontal="center" vertical="center" wrapText="1"/>
    </xf>
    <xf numFmtId="0" fontId="0" fillId="34" borderId="19" xfId="0" applyFill="1" applyBorder="1" applyAlignment="1">
      <alignment horizontal="center" vertical="center" wrapText="1"/>
    </xf>
    <xf numFmtId="0" fontId="0" fillId="34" borderId="14" xfId="0" applyFill="1" applyBorder="1" applyAlignment="1">
      <alignment horizontal="center" vertical="center" wrapText="1"/>
    </xf>
    <xf numFmtId="0" fontId="0" fillId="34" borderId="20" xfId="0" applyFill="1" applyBorder="1" applyAlignment="1">
      <alignment horizontal="center" vertical="center" wrapText="1"/>
    </xf>
    <xf numFmtId="0" fontId="0" fillId="34" borderId="12" xfId="0" applyFill="1" applyBorder="1" applyAlignment="1">
      <alignment horizontal="center" vertical="center" wrapText="1"/>
    </xf>
    <xf numFmtId="0" fontId="0" fillId="34" borderId="14" xfId="0" applyFont="1" applyFill="1" applyBorder="1" applyAlignment="1">
      <alignment horizontal="center" vertical="center" wrapText="1"/>
    </xf>
    <xf numFmtId="0" fontId="0" fillId="34" borderId="12" xfId="0" applyFont="1" applyFill="1" applyBorder="1" applyAlignment="1">
      <alignment horizontal="center" vertical="center" wrapText="1"/>
    </xf>
    <xf numFmtId="0" fontId="0" fillId="34" borderId="23" xfId="0" applyFill="1" applyBorder="1" applyAlignment="1">
      <alignment horizontal="center"/>
    </xf>
    <xf numFmtId="0" fontId="0" fillId="34" borderId="15" xfId="0" applyFill="1" applyBorder="1" applyAlignment="1">
      <alignment horizontal="center"/>
    </xf>
    <xf numFmtId="0" fontId="1" fillId="34" borderId="10" xfId="0" applyFont="1" applyFill="1" applyBorder="1" applyAlignment="1">
      <alignment horizontal="center" vertical="center" wrapText="1"/>
    </xf>
    <xf numFmtId="0" fontId="4" fillId="34" borderId="10" xfId="0" applyNumberFormat="1" applyFont="1" applyFill="1" applyBorder="1" applyAlignment="1">
      <alignment horizontal="center" vertic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CU78"/>
  <sheetViews>
    <sheetView tabSelected="1" zoomScaleSheetLayoutView="75"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140625" defaultRowHeight="17.25" customHeight="1"/>
  <cols>
    <col min="1" max="1" width="5.00390625" style="1" bestFit="1" customWidth="1"/>
    <col min="2" max="2" width="26.8515625" style="1" bestFit="1" customWidth="1"/>
    <col min="3" max="9" width="26.421875" style="1" customWidth="1"/>
    <col min="10" max="16" width="26.28125" style="1" customWidth="1"/>
    <col min="17" max="17" width="26.7109375" style="1" customWidth="1"/>
    <col min="18" max="21" width="23.00390625" style="1" customWidth="1"/>
    <col min="22" max="24" width="26.7109375" style="1" customWidth="1"/>
    <col min="25" max="26" width="25.8515625" style="1" customWidth="1"/>
    <col min="27" max="27" width="26.57421875" style="1" customWidth="1"/>
    <col min="28" max="31" width="26.140625" style="1" customWidth="1"/>
    <col min="32" max="33" width="23.421875" style="1" customWidth="1"/>
    <col min="34" max="34" width="28.00390625" style="1" customWidth="1"/>
    <col min="35" max="41" width="22.28125" style="1" customWidth="1"/>
    <col min="42" max="43" width="24.8515625" style="1" customWidth="1"/>
    <col min="44" max="44" width="22.28125" style="1" customWidth="1"/>
    <col min="45" max="47" width="24.8515625" style="1" customWidth="1"/>
    <col min="48" max="54" width="26.421875" style="1" customWidth="1"/>
    <col min="55" max="64" width="22.421875" style="1" customWidth="1"/>
    <col min="65" max="65" width="31.57421875" style="1" customWidth="1"/>
    <col min="66" max="66" width="32.140625" style="1" customWidth="1"/>
    <col min="67" max="67" width="33.8515625" style="1" customWidth="1"/>
    <col min="68" max="68" width="3.57421875" style="2" customWidth="1"/>
    <col min="69" max="69" width="16.8515625" style="1" customWidth="1"/>
    <col min="70" max="70" width="46.28125" style="1" customWidth="1"/>
    <col min="71" max="71" width="10.140625" style="1" bestFit="1" customWidth="1"/>
    <col min="72" max="83" width="12.00390625" style="1" customWidth="1"/>
    <col min="84" max="84" width="4.8515625" style="1" customWidth="1"/>
    <col min="85" max="87" width="23.7109375" style="1" customWidth="1"/>
    <col min="88" max="88" width="13.28125" style="1" customWidth="1"/>
    <col min="89" max="89" width="18.8515625" style="1" customWidth="1"/>
    <col min="90" max="90" width="41.140625" style="2" customWidth="1"/>
    <col min="91" max="93" width="22.7109375" style="2" customWidth="1"/>
    <col min="94" max="94" width="9.140625" style="1" customWidth="1"/>
    <col min="95" max="104" width="9.140625" style="2" customWidth="1"/>
    <col min="105" max="105" width="10.140625" style="2" customWidth="1"/>
    <col min="106" max="106" width="21.8515625" style="2" customWidth="1"/>
    <col min="107" max="16384" width="9.140625" style="2" customWidth="1"/>
  </cols>
  <sheetData>
    <row r="1" spans="2:93" ht="17.25" customHeight="1">
      <c r="B1" s="2"/>
      <c r="C1" s="117">
        <v>1</v>
      </c>
      <c r="D1" s="117"/>
      <c r="E1" s="51">
        <v>2</v>
      </c>
      <c r="F1" s="52">
        <v>3</v>
      </c>
      <c r="G1" s="53">
        <v>4</v>
      </c>
      <c r="H1" s="51">
        <v>5</v>
      </c>
      <c r="I1" s="51">
        <v>6</v>
      </c>
      <c r="J1" s="51">
        <v>7</v>
      </c>
      <c r="K1" s="51">
        <v>8</v>
      </c>
      <c r="L1" s="117">
        <v>9</v>
      </c>
      <c r="M1" s="117"/>
      <c r="N1" s="117">
        <v>10</v>
      </c>
      <c r="O1" s="117"/>
      <c r="P1" s="51">
        <v>11</v>
      </c>
      <c r="Q1" s="117" t="s">
        <v>48</v>
      </c>
      <c r="R1" s="117"/>
      <c r="S1" s="117"/>
      <c r="T1" s="117"/>
      <c r="U1" s="117"/>
      <c r="V1" s="117"/>
      <c r="W1" s="117"/>
      <c r="X1" s="117"/>
      <c r="Y1" s="117" t="s">
        <v>60</v>
      </c>
      <c r="Z1" s="117"/>
      <c r="AA1" s="117"/>
      <c r="AB1" s="117" t="s">
        <v>64</v>
      </c>
      <c r="AC1" s="117"/>
      <c r="AD1" s="117"/>
      <c r="AE1" s="117" t="s">
        <v>64</v>
      </c>
      <c r="AF1" s="117"/>
      <c r="AG1" s="117"/>
      <c r="AH1" s="51" t="s">
        <v>73</v>
      </c>
      <c r="AI1" s="117" t="s">
        <v>74</v>
      </c>
      <c r="AJ1" s="117"/>
      <c r="AK1" s="117"/>
      <c r="AL1" s="117"/>
      <c r="AM1" s="117"/>
      <c r="AN1" s="117"/>
      <c r="AO1" s="117"/>
      <c r="AP1" s="117" t="s">
        <v>83</v>
      </c>
      <c r="AQ1" s="117"/>
      <c r="AR1" s="117"/>
      <c r="AS1" s="117"/>
      <c r="AT1" s="117" t="s">
        <v>89</v>
      </c>
      <c r="AU1" s="117"/>
      <c r="AV1" s="117" t="s">
        <v>93</v>
      </c>
      <c r="AW1" s="117"/>
      <c r="AX1" s="117"/>
      <c r="AY1" s="117"/>
      <c r="AZ1" s="117"/>
      <c r="BA1" s="117"/>
      <c r="BB1" s="117"/>
      <c r="BC1" s="117"/>
      <c r="BD1" s="117" t="s">
        <v>102</v>
      </c>
      <c r="BE1" s="117"/>
      <c r="BF1" s="117"/>
      <c r="BG1" s="117"/>
      <c r="BH1" s="117"/>
      <c r="BI1" s="117"/>
      <c r="BJ1" s="117"/>
      <c r="BK1" s="117"/>
      <c r="BL1" s="117"/>
      <c r="BM1" s="117" t="s">
        <v>109</v>
      </c>
      <c r="BN1" s="117"/>
      <c r="BO1" s="117"/>
      <c r="BQ1" s="108" t="s">
        <v>5</v>
      </c>
      <c r="BR1" s="132" t="s">
        <v>18</v>
      </c>
      <c r="BS1" s="117" t="s">
        <v>110</v>
      </c>
      <c r="BT1" s="117"/>
      <c r="BU1" s="117"/>
      <c r="BV1" s="117"/>
      <c r="BW1" s="117"/>
      <c r="BX1" s="117"/>
      <c r="BY1" s="117"/>
      <c r="BZ1" s="117"/>
      <c r="CA1" s="117"/>
      <c r="CB1" s="117"/>
      <c r="CC1" s="117"/>
      <c r="CD1" s="117"/>
      <c r="CE1" s="117"/>
      <c r="CG1" s="109" t="s">
        <v>111</v>
      </c>
      <c r="CH1" s="110"/>
      <c r="CI1" s="111"/>
      <c r="CK1" s="55"/>
      <c r="CL1" s="101" t="s">
        <v>112</v>
      </c>
      <c r="CM1" s="101"/>
      <c r="CN1" s="101"/>
      <c r="CO1" s="101"/>
    </row>
    <row r="2" spans="2:93" ht="22.5" customHeight="1">
      <c r="B2" s="2"/>
      <c r="C2" s="129" t="s">
        <v>46</v>
      </c>
      <c r="D2" s="130"/>
      <c r="E2" s="121" t="s">
        <v>35</v>
      </c>
      <c r="F2" s="121" t="s">
        <v>36</v>
      </c>
      <c r="G2" s="121" t="s">
        <v>37</v>
      </c>
      <c r="H2" s="121" t="s">
        <v>38</v>
      </c>
      <c r="I2" s="121" t="s">
        <v>39</v>
      </c>
      <c r="J2" s="121" t="s">
        <v>40</v>
      </c>
      <c r="K2" s="121" t="s">
        <v>41</v>
      </c>
      <c r="L2" s="117" t="s">
        <v>45</v>
      </c>
      <c r="M2" s="117"/>
      <c r="N2" s="117" t="s">
        <v>44</v>
      </c>
      <c r="O2" s="117"/>
      <c r="P2" s="121" t="s">
        <v>47</v>
      </c>
      <c r="Q2" s="51" t="s">
        <v>55</v>
      </c>
      <c r="R2" s="117" t="s">
        <v>56</v>
      </c>
      <c r="S2" s="117"/>
      <c r="T2" s="117"/>
      <c r="U2" s="117"/>
      <c r="V2" s="51" t="s">
        <v>57</v>
      </c>
      <c r="W2" s="51" t="s">
        <v>58</v>
      </c>
      <c r="X2" s="51" t="s">
        <v>59</v>
      </c>
      <c r="Y2" s="108" t="s">
        <v>61</v>
      </c>
      <c r="Z2" s="108" t="s">
        <v>62</v>
      </c>
      <c r="AA2" s="108" t="s">
        <v>63</v>
      </c>
      <c r="AB2" s="117" t="s">
        <v>65</v>
      </c>
      <c r="AC2" s="117"/>
      <c r="AD2" s="117"/>
      <c r="AE2" s="117" t="s">
        <v>65</v>
      </c>
      <c r="AF2" s="117"/>
      <c r="AG2" s="117"/>
      <c r="AH2" s="108" t="s">
        <v>29</v>
      </c>
      <c r="AI2" s="117" t="s">
        <v>75</v>
      </c>
      <c r="AJ2" s="117"/>
      <c r="AK2" s="117"/>
      <c r="AL2" s="117"/>
      <c r="AM2" s="117"/>
      <c r="AN2" s="117"/>
      <c r="AO2" s="117"/>
      <c r="AP2" s="117" t="s">
        <v>84</v>
      </c>
      <c r="AQ2" s="117"/>
      <c r="AR2" s="117"/>
      <c r="AS2" s="117"/>
      <c r="AT2" s="117" t="s">
        <v>90</v>
      </c>
      <c r="AU2" s="117"/>
      <c r="AV2" s="108" t="s">
        <v>94</v>
      </c>
      <c r="AW2" s="108" t="s">
        <v>95</v>
      </c>
      <c r="AX2" s="108" t="s">
        <v>96</v>
      </c>
      <c r="AY2" s="108" t="s">
        <v>97</v>
      </c>
      <c r="AZ2" s="108" t="s">
        <v>98</v>
      </c>
      <c r="BA2" s="118" t="s">
        <v>99</v>
      </c>
      <c r="BB2" s="108" t="s">
        <v>100</v>
      </c>
      <c r="BC2" s="108" t="s">
        <v>101</v>
      </c>
      <c r="BD2" s="108" t="s">
        <v>103</v>
      </c>
      <c r="BE2" s="108" t="s">
        <v>104</v>
      </c>
      <c r="BF2" s="108" t="s">
        <v>105</v>
      </c>
      <c r="BG2" s="108" t="s">
        <v>106</v>
      </c>
      <c r="BH2" s="118" t="s">
        <v>107</v>
      </c>
      <c r="BI2" s="108" t="s">
        <v>264</v>
      </c>
      <c r="BJ2" s="108" t="s">
        <v>265</v>
      </c>
      <c r="BK2" s="108" t="s">
        <v>108</v>
      </c>
      <c r="BL2" s="108" t="s">
        <v>115</v>
      </c>
      <c r="BM2" s="108" t="s">
        <v>113</v>
      </c>
      <c r="BN2" s="108" t="s">
        <v>27</v>
      </c>
      <c r="BO2" s="108" t="s">
        <v>17</v>
      </c>
      <c r="BQ2" s="108"/>
      <c r="BR2" s="132"/>
      <c r="BS2" s="108" t="s">
        <v>6</v>
      </c>
      <c r="BT2" s="108" t="s">
        <v>7</v>
      </c>
      <c r="BU2" s="108" t="s">
        <v>8</v>
      </c>
      <c r="BV2" s="108" t="s">
        <v>9</v>
      </c>
      <c r="BW2" s="108" t="s">
        <v>10</v>
      </c>
      <c r="BX2" s="108" t="s">
        <v>28</v>
      </c>
      <c r="BY2" s="108" t="s">
        <v>11</v>
      </c>
      <c r="BZ2" s="108" t="s">
        <v>12</v>
      </c>
      <c r="CA2" s="108" t="s">
        <v>20</v>
      </c>
      <c r="CB2" s="108" t="s">
        <v>30</v>
      </c>
      <c r="CC2" s="108" t="s">
        <v>13</v>
      </c>
      <c r="CD2" s="108" t="s">
        <v>1</v>
      </c>
      <c r="CE2" s="108" t="s">
        <v>14</v>
      </c>
      <c r="CG2" s="112" t="s">
        <v>22</v>
      </c>
      <c r="CH2" s="113" t="s">
        <v>23</v>
      </c>
      <c r="CI2" s="112" t="s">
        <v>24</v>
      </c>
      <c r="CK2" s="131" t="s">
        <v>25</v>
      </c>
      <c r="CL2" s="102" t="s">
        <v>26</v>
      </c>
      <c r="CM2" s="104" t="s">
        <v>2</v>
      </c>
      <c r="CN2" s="106" t="s">
        <v>3</v>
      </c>
      <c r="CO2" s="104" t="s">
        <v>15</v>
      </c>
    </row>
    <row r="3" spans="1:93" s="4" customFormat="1" ht="17.25" customHeight="1">
      <c r="A3" s="3"/>
      <c r="B3" s="57"/>
      <c r="C3" s="33" t="s">
        <v>33</v>
      </c>
      <c r="D3" s="33" t="s">
        <v>34</v>
      </c>
      <c r="E3" s="122"/>
      <c r="F3" s="122"/>
      <c r="G3" s="122"/>
      <c r="H3" s="122"/>
      <c r="I3" s="122"/>
      <c r="J3" s="122"/>
      <c r="K3" s="122"/>
      <c r="L3" s="50" t="s">
        <v>33</v>
      </c>
      <c r="M3" s="33" t="s">
        <v>34</v>
      </c>
      <c r="N3" s="33" t="s">
        <v>33</v>
      </c>
      <c r="O3" s="33" t="s">
        <v>34</v>
      </c>
      <c r="P3" s="122"/>
      <c r="Q3" s="121" t="s">
        <v>49</v>
      </c>
      <c r="R3" s="124" t="s">
        <v>50</v>
      </c>
      <c r="S3" s="125"/>
      <c r="T3" s="125"/>
      <c r="U3" s="126"/>
      <c r="V3" s="121" t="s">
        <v>4</v>
      </c>
      <c r="W3" s="121" t="s">
        <v>16</v>
      </c>
      <c r="X3" s="108" t="s">
        <v>21</v>
      </c>
      <c r="Y3" s="108"/>
      <c r="Z3" s="108"/>
      <c r="AA3" s="108"/>
      <c r="AB3" s="124" t="s">
        <v>222</v>
      </c>
      <c r="AC3" s="125"/>
      <c r="AD3" s="126"/>
      <c r="AE3" s="124" t="s">
        <v>69</v>
      </c>
      <c r="AF3" s="125"/>
      <c r="AG3" s="126"/>
      <c r="AH3" s="108"/>
      <c r="AI3" s="121" t="s">
        <v>76</v>
      </c>
      <c r="AJ3" s="121" t="s">
        <v>77</v>
      </c>
      <c r="AK3" s="121" t="s">
        <v>78</v>
      </c>
      <c r="AL3" s="121" t="s">
        <v>79</v>
      </c>
      <c r="AM3" s="121" t="s">
        <v>80</v>
      </c>
      <c r="AN3" s="121" t="s">
        <v>81</v>
      </c>
      <c r="AO3" s="121" t="s">
        <v>82</v>
      </c>
      <c r="AP3" s="121" t="s">
        <v>85</v>
      </c>
      <c r="AQ3" s="121" t="s">
        <v>86</v>
      </c>
      <c r="AR3" s="121" t="s">
        <v>87</v>
      </c>
      <c r="AS3" s="121" t="s">
        <v>88</v>
      </c>
      <c r="AT3" s="121" t="s">
        <v>91</v>
      </c>
      <c r="AU3" s="121" t="s">
        <v>92</v>
      </c>
      <c r="AV3" s="108"/>
      <c r="AW3" s="108"/>
      <c r="AX3" s="108"/>
      <c r="AY3" s="108"/>
      <c r="AZ3" s="108"/>
      <c r="BA3" s="119"/>
      <c r="BB3" s="108"/>
      <c r="BC3" s="108"/>
      <c r="BD3" s="108"/>
      <c r="BE3" s="108"/>
      <c r="BF3" s="108"/>
      <c r="BG3" s="108"/>
      <c r="BH3" s="119"/>
      <c r="BI3" s="108"/>
      <c r="BJ3" s="108"/>
      <c r="BK3" s="108"/>
      <c r="BL3" s="108"/>
      <c r="BM3" s="108"/>
      <c r="BN3" s="108"/>
      <c r="BO3" s="108"/>
      <c r="BP3" s="54"/>
      <c r="BQ3" s="108"/>
      <c r="BR3" s="132"/>
      <c r="BS3" s="108"/>
      <c r="BT3" s="108"/>
      <c r="BU3" s="116"/>
      <c r="BV3" s="108"/>
      <c r="BW3" s="108"/>
      <c r="BX3" s="108"/>
      <c r="BY3" s="108"/>
      <c r="BZ3" s="108"/>
      <c r="CA3" s="108"/>
      <c r="CB3" s="108"/>
      <c r="CC3" s="108"/>
      <c r="CD3" s="108"/>
      <c r="CE3" s="108"/>
      <c r="CF3" s="56"/>
      <c r="CG3" s="112"/>
      <c r="CH3" s="114"/>
      <c r="CI3" s="112"/>
      <c r="CK3" s="131"/>
      <c r="CL3" s="102"/>
      <c r="CM3" s="105"/>
      <c r="CN3" s="106"/>
      <c r="CO3" s="105"/>
    </row>
    <row r="4" spans="1:93" s="4" customFormat="1" ht="50.25" customHeight="1">
      <c r="A4" s="3"/>
      <c r="B4" s="121" t="s">
        <v>114</v>
      </c>
      <c r="C4" s="121" t="s">
        <v>0</v>
      </c>
      <c r="D4" s="121" t="s">
        <v>19</v>
      </c>
      <c r="E4" s="122"/>
      <c r="F4" s="122"/>
      <c r="G4" s="122"/>
      <c r="H4" s="122"/>
      <c r="I4" s="122"/>
      <c r="J4" s="122"/>
      <c r="K4" s="122"/>
      <c r="L4" s="121" t="s">
        <v>42</v>
      </c>
      <c r="M4" s="121" t="s">
        <v>43</v>
      </c>
      <c r="N4" s="121" t="s">
        <v>31</v>
      </c>
      <c r="O4" s="121" t="s">
        <v>32</v>
      </c>
      <c r="P4" s="122"/>
      <c r="Q4" s="122"/>
      <c r="R4" s="127" t="s">
        <v>51</v>
      </c>
      <c r="S4" s="128"/>
      <c r="T4" s="127" t="s">
        <v>52</v>
      </c>
      <c r="U4" s="128"/>
      <c r="V4" s="122"/>
      <c r="W4" s="122"/>
      <c r="X4" s="108"/>
      <c r="Y4" s="108"/>
      <c r="Z4" s="108"/>
      <c r="AA4" s="108"/>
      <c r="AB4" s="121" t="s">
        <v>66</v>
      </c>
      <c r="AC4" s="121" t="s">
        <v>67</v>
      </c>
      <c r="AD4" s="121" t="s">
        <v>68</v>
      </c>
      <c r="AE4" s="121" t="s">
        <v>70</v>
      </c>
      <c r="AF4" s="121" t="s">
        <v>71</v>
      </c>
      <c r="AG4" s="121" t="s">
        <v>72</v>
      </c>
      <c r="AH4" s="108"/>
      <c r="AI4" s="122"/>
      <c r="AJ4" s="122"/>
      <c r="AK4" s="122"/>
      <c r="AL4" s="122"/>
      <c r="AM4" s="122"/>
      <c r="AN4" s="122"/>
      <c r="AO4" s="122"/>
      <c r="AP4" s="122"/>
      <c r="AQ4" s="122"/>
      <c r="AR4" s="122"/>
      <c r="AS4" s="122"/>
      <c r="AT4" s="122"/>
      <c r="AU4" s="122"/>
      <c r="AV4" s="108"/>
      <c r="AW4" s="108"/>
      <c r="AX4" s="108"/>
      <c r="AY4" s="108"/>
      <c r="AZ4" s="108"/>
      <c r="BA4" s="119"/>
      <c r="BB4" s="108"/>
      <c r="BC4" s="108"/>
      <c r="BD4" s="108"/>
      <c r="BE4" s="108"/>
      <c r="BF4" s="108"/>
      <c r="BG4" s="108"/>
      <c r="BH4" s="119"/>
      <c r="BI4" s="108"/>
      <c r="BJ4" s="108"/>
      <c r="BK4" s="108"/>
      <c r="BL4" s="108"/>
      <c r="BM4" s="108"/>
      <c r="BN4" s="108"/>
      <c r="BO4" s="108"/>
      <c r="BQ4" s="108"/>
      <c r="BR4" s="132"/>
      <c r="BS4" s="108"/>
      <c r="BT4" s="108"/>
      <c r="BU4" s="116"/>
      <c r="BV4" s="108"/>
      <c r="BW4" s="108"/>
      <c r="BX4" s="108"/>
      <c r="BY4" s="108"/>
      <c r="BZ4" s="108"/>
      <c r="CA4" s="108"/>
      <c r="CB4" s="108"/>
      <c r="CC4" s="108"/>
      <c r="CD4" s="108"/>
      <c r="CE4" s="108"/>
      <c r="CF4" s="38"/>
      <c r="CG4" s="112"/>
      <c r="CH4" s="114"/>
      <c r="CI4" s="112"/>
      <c r="CJ4" s="46"/>
      <c r="CK4" s="131"/>
      <c r="CL4" s="102"/>
      <c r="CM4" s="105"/>
      <c r="CN4" s="106"/>
      <c r="CO4" s="105"/>
    </row>
    <row r="5" spans="1:93" s="4" customFormat="1" ht="36.75" customHeight="1">
      <c r="A5" s="3"/>
      <c r="B5" s="123"/>
      <c r="C5" s="123"/>
      <c r="D5" s="123"/>
      <c r="E5" s="123"/>
      <c r="F5" s="123"/>
      <c r="G5" s="123"/>
      <c r="H5" s="123"/>
      <c r="I5" s="123"/>
      <c r="J5" s="123"/>
      <c r="K5" s="123"/>
      <c r="L5" s="123"/>
      <c r="M5" s="123"/>
      <c r="N5" s="123"/>
      <c r="O5" s="123"/>
      <c r="P5" s="123"/>
      <c r="Q5" s="123"/>
      <c r="R5" s="49" t="s">
        <v>54</v>
      </c>
      <c r="S5" s="49" t="s">
        <v>53</v>
      </c>
      <c r="T5" s="49" t="s">
        <v>54</v>
      </c>
      <c r="U5" s="49" t="s">
        <v>53</v>
      </c>
      <c r="V5" s="123"/>
      <c r="W5" s="123"/>
      <c r="X5" s="108"/>
      <c r="Y5" s="108"/>
      <c r="Z5" s="108"/>
      <c r="AA5" s="108"/>
      <c r="AB5" s="123"/>
      <c r="AC5" s="123"/>
      <c r="AD5" s="123"/>
      <c r="AE5" s="123"/>
      <c r="AF5" s="123"/>
      <c r="AG5" s="123"/>
      <c r="AH5" s="108"/>
      <c r="AI5" s="123"/>
      <c r="AJ5" s="123"/>
      <c r="AK5" s="123"/>
      <c r="AL5" s="123"/>
      <c r="AM5" s="123"/>
      <c r="AN5" s="123"/>
      <c r="AO5" s="123"/>
      <c r="AP5" s="123"/>
      <c r="AQ5" s="123"/>
      <c r="AR5" s="123"/>
      <c r="AS5" s="123"/>
      <c r="AT5" s="123"/>
      <c r="AU5" s="123"/>
      <c r="AV5" s="108"/>
      <c r="AW5" s="108"/>
      <c r="AX5" s="108"/>
      <c r="AY5" s="108"/>
      <c r="AZ5" s="108"/>
      <c r="BA5" s="120"/>
      <c r="BB5" s="108"/>
      <c r="BC5" s="108"/>
      <c r="BD5" s="108"/>
      <c r="BE5" s="108"/>
      <c r="BF5" s="108"/>
      <c r="BG5" s="108"/>
      <c r="BH5" s="120"/>
      <c r="BI5" s="108"/>
      <c r="BJ5" s="108"/>
      <c r="BK5" s="108"/>
      <c r="BL5" s="108"/>
      <c r="BM5" s="108"/>
      <c r="BN5" s="108"/>
      <c r="BO5" s="108"/>
      <c r="BQ5" s="108"/>
      <c r="BR5" s="132"/>
      <c r="BS5" s="108"/>
      <c r="BT5" s="108"/>
      <c r="BU5" s="116"/>
      <c r="BV5" s="108"/>
      <c r="BW5" s="108"/>
      <c r="BX5" s="108"/>
      <c r="BY5" s="108"/>
      <c r="BZ5" s="108"/>
      <c r="CA5" s="108"/>
      <c r="CB5" s="108"/>
      <c r="CC5" s="108"/>
      <c r="CD5" s="108"/>
      <c r="CE5" s="108"/>
      <c r="CF5" s="38"/>
      <c r="CG5" s="112"/>
      <c r="CH5" s="115"/>
      <c r="CI5" s="112"/>
      <c r="CJ5" s="46"/>
      <c r="CK5" s="131"/>
      <c r="CL5" s="103"/>
      <c r="CM5" s="105"/>
      <c r="CN5" s="107"/>
      <c r="CO5" s="105"/>
    </row>
    <row r="6" spans="1:93" s="96" customFormat="1" ht="17.25" customHeight="1">
      <c r="A6" s="62" t="s">
        <v>116</v>
      </c>
      <c r="B6" s="63" t="s">
        <v>117</v>
      </c>
      <c r="C6" s="64">
        <v>1035252400</v>
      </c>
      <c r="D6" s="64">
        <v>994061739</v>
      </c>
      <c r="E6" s="65">
        <f aca="true" t="shared" si="0" ref="E6:E18">C6+D6</f>
        <v>2029314139</v>
      </c>
      <c r="F6" s="66">
        <v>28300</v>
      </c>
      <c r="G6" s="67">
        <f>E6-F6</f>
        <v>2029285839</v>
      </c>
      <c r="H6" s="68">
        <v>0</v>
      </c>
      <c r="I6" s="65">
        <f>G6+H6</f>
        <v>2029285839</v>
      </c>
      <c r="J6" s="69">
        <f>CC6</f>
        <v>2.314</v>
      </c>
      <c r="K6" s="70">
        <v>97.51</v>
      </c>
      <c r="L6" s="71"/>
      <c r="M6" s="72"/>
      <c r="N6" s="64">
        <v>0</v>
      </c>
      <c r="O6" s="73">
        <v>60583592</v>
      </c>
      <c r="P6" s="65">
        <f>I6-L6+M6-N6+O6</f>
        <v>2089869431</v>
      </c>
      <c r="Q6" s="74">
        <f>ROUND(P6*Q$60,2)+0.06</f>
        <v>0.06</v>
      </c>
      <c r="R6" s="74"/>
      <c r="S6" s="74"/>
      <c r="T6" s="75">
        <v>2835.43</v>
      </c>
      <c r="U6" s="75">
        <v>0</v>
      </c>
      <c r="V6" s="76">
        <f>Q6-R6+S6-T6+U6</f>
        <v>-2835.37</v>
      </c>
      <c r="W6" s="77"/>
      <c r="X6" s="78">
        <f aca="true" t="shared" si="1" ref="X6:X18">V6-W6</f>
        <v>-2835.37</v>
      </c>
      <c r="Y6" s="79">
        <v>0</v>
      </c>
      <c r="Z6" s="79">
        <v>109903.88</v>
      </c>
      <c r="AA6" s="79">
        <v>313305.91</v>
      </c>
      <c r="AB6" s="80">
        <v>0</v>
      </c>
      <c r="AC6" s="80">
        <v>34966406</v>
      </c>
      <c r="AD6" s="80">
        <v>0</v>
      </c>
      <c r="AE6" s="80">
        <v>10868199.14</v>
      </c>
      <c r="AF6" s="80">
        <v>0</v>
      </c>
      <c r="AG6" s="80">
        <v>692235.4</v>
      </c>
      <c r="AH6" s="81">
        <f aca="true" t="shared" si="2" ref="AH6:AH58">SUM(X6+Y6+Z6+AA6+AB6+AC6+AD6+AE6+AF6+AG6)</f>
        <v>46947214.96</v>
      </c>
      <c r="AI6" s="82">
        <v>68490300</v>
      </c>
      <c r="AJ6" s="82">
        <v>0</v>
      </c>
      <c r="AK6" s="82">
        <v>42198500</v>
      </c>
      <c r="AL6" s="82">
        <v>30364400</v>
      </c>
      <c r="AM6" s="82">
        <v>1308100</v>
      </c>
      <c r="AN6" s="82">
        <v>38078400</v>
      </c>
      <c r="AO6" s="83">
        <f aca="true" t="shared" si="3" ref="AO6:AO18">SUM(AI6:AN6)</f>
        <v>180439700</v>
      </c>
      <c r="AP6" s="84">
        <v>900000</v>
      </c>
      <c r="AQ6" s="84">
        <v>5403597.89</v>
      </c>
      <c r="AR6" s="84">
        <v>730682</v>
      </c>
      <c r="AS6" s="85">
        <f aca="true" t="shared" si="4" ref="AS6:AS18">SUM(AP6:AR6)</f>
        <v>7034279.89</v>
      </c>
      <c r="AT6" s="82">
        <v>33750</v>
      </c>
      <c r="AU6" s="82">
        <v>108000</v>
      </c>
      <c r="AV6" s="82"/>
      <c r="AW6" s="82">
        <v>28300</v>
      </c>
      <c r="AX6" s="82" t="s">
        <v>223</v>
      </c>
      <c r="AY6" s="82" t="s">
        <v>223</v>
      </c>
      <c r="AZ6" s="82"/>
      <c r="BA6" s="82"/>
      <c r="BB6" s="82"/>
      <c r="BC6" s="82"/>
      <c r="BD6" s="82"/>
      <c r="BE6" s="82"/>
      <c r="BF6" s="82"/>
      <c r="BG6" s="82"/>
      <c r="BH6" s="82"/>
      <c r="BI6" s="82"/>
      <c r="BJ6" s="82"/>
      <c r="BK6" s="82"/>
      <c r="BL6" s="86">
        <f>SUM(AV6:BK6)</f>
        <v>28300</v>
      </c>
      <c r="BM6" s="86"/>
      <c r="BN6" s="86"/>
      <c r="BO6" s="86"/>
      <c r="BP6" s="87"/>
      <c r="BQ6" s="77"/>
      <c r="BR6" s="77"/>
      <c r="BS6" s="88">
        <f>ROUND(X6/I6*100,3)</f>
        <v>0</v>
      </c>
      <c r="BT6" s="88">
        <f>ROUND(Y6/I6*100,3)</f>
        <v>0</v>
      </c>
      <c r="BU6" s="88">
        <f>ROUND(Z6/I6*100,3)</f>
        <v>0.005</v>
      </c>
      <c r="BV6" s="88">
        <f>ROUNDUP(AA6/I6*100,3)</f>
        <v>0.016</v>
      </c>
      <c r="BW6" s="88">
        <f>ROUND(AB6/I6*100,3)</f>
        <v>0</v>
      </c>
      <c r="BX6" s="88">
        <f aca="true" t="shared" si="5" ref="BX6:BX58">ROUND(AC6/I6*100,3)</f>
        <v>1.723</v>
      </c>
      <c r="BY6" s="88">
        <f aca="true" t="shared" si="6" ref="BY6:BY58">ROUND(AD6/I6*100,3)</f>
        <v>0</v>
      </c>
      <c r="BZ6" s="88">
        <f>ROUND(AE6/I6*100,3)</f>
        <v>0.536</v>
      </c>
      <c r="CA6" s="88">
        <f>ROUND(AF6/I6*100,3)</f>
        <v>0</v>
      </c>
      <c r="CB6" s="88">
        <f>ROUND(AG6/I6*100,3)</f>
        <v>0.034</v>
      </c>
      <c r="CC6" s="88">
        <f aca="true" t="shared" si="7" ref="CC6:CC37">ROUNDUP(AH6/I6*100,3)</f>
        <v>2.314</v>
      </c>
      <c r="CD6" s="89">
        <f aca="true" t="shared" si="8" ref="CD6:CD37">K6</f>
        <v>97.51</v>
      </c>
      <c r="CE6" s="88">
        <f aca="true" t="shared" si="9" ref="CE6:CE37">AH6/P6*100</f>
        <v>2.2464185687206215</v>
      </c>
      <c r="CF6" s="90"/>
      <c r="CG6" s="86"/>
      <c r="CH6" s="86"/>
      <c r="CI6" s="86"/>
      <c r="CJ6" s="91"/>
      <c r="CK6" s="92" t="s">
        <v>227</v>
      </c>
      <c r="CL6" s="93" t="s">
        <v>228</v>
      </c>
      <c r="CM6" s="94">
        <v>1318816339</v>
      </c>
      <c r="CN6" s="94">
        <v>649811</v>
      </c>
      <c r="CO6" s="95">
        <f>ROUNDUP(CN6/CM6*100,3)</f>
        <v>0.05</v>
      </c>
    </row>
    <row r="7" spans="1:94" s="96" customFormat="1" ht="17.25" customHeight="1">
      <c r="A7" s="62" t="s">
        <v>118</v>
      </c>
      <c r="B7" s="63" t="s">
        <v>119</v>
      </c>
      <c r="C7" s="64">
        <v>326057400</v>
      </c>
      <c r="D7" s="64">
        <v>175036600</v>
      </c>
      <c r="E7" s="65">
        <f t="shared" si="0"/>
        <v>501094000</v>
      </c>
      <c r="F7" s="66">
        <v>0</v>
      </c>
      <c r="G7" s="67">
        <f aca="true" t="shared" si="10" ref="G7:G58">E7-F7</f>
        <v>501094000</v>
      </c>
      <c r="H7" s="68">
        <v>222284</v>
      </c>
      <c r="I7" s="65">
        <f aca="true" t="shared" si="11" ref="I7:I58">G7+H7</f>
        <v>501316284</v>
      </c>
      <c r="J7" s="69">
        <f aca="true" t="shared" si="12" ref="J7:J58">CC7</f>
        <v>0.527</v>
      </c>
      <c r="K7" s="70">
        <v>85.7</v>
      </c>
      <c r="L7" s="71"/>
      <c r="M7" s="72"/>
      <c r="N7" s="64">
        <v>0</v>
      </c>
      <c r="O7" s="73">
        <v>85052316</v>
      </c>
      <c r="P7" s="65">
        <f aca="true" t="shared" si="13" ref="P7:P58">I7-L7+M7-N7+O7</f>
        <v>586368600</v>
      </c>
      <c r="Q7" s="74">
        <f>ROUND(P7*Q$60,2)+0.02</f>
        <v>0.02</v>
      </c>
      <c r="R7" s="74"/>
      <c r="S7" s="74"/>
      <c r="T7" s="75">
        <v>49846.72</v>
      </c>
      <c r="U7" s="75">
        <v>0</v>
      </c>
      <c r="V7" s="76">
        <f aca="true" t="shared" si="14" ref="V7:V58">Q7-R7+S7-T7+U7</f>
        <v>-49846.700000000004</v>
      </c>
      <c r="W7" s="77"/>
      <c r="X7" s="78">
        <f t="shared" si="1"/>
        <v>-49846.700000000004</v>
      </c>
      <c r="Y7" s="79">
        <v>102039.16</v>
      </c>
      <c r="Z7" s="79">
        <v>0</v>
      </c>
      <c r="AA7" s="79">
        <v>85094.58</v>
      </c>
      <c r="AB7" s="80">
        <v>189073</v>
      </c>
      <c r="AC7" s="80">
        <v>0</v>
      </c>
      <c r="AD7" s="80">
        <v>0</v>
      </c>
      <c r="AE7" s="80">
        <v>2311136.36</v>
      </c>
      <c r="AF7" s="80">
        <v>0</v>
      </c>
      <c r="AG7" s="80">
        <v>0</v>
      </c>
      <c r="AH7" s="81">
        <f t="shared" si="2"/>
        <v>2637496.4</v>
      </c>
      <c r="AI7" s="82">
        <v>0</v>
      </c>
      <c r="AJ7" s="82">
        <v>0</v>
      </c>
      <c r="AK7" s="82">
        <v>24767300</v>
      </c>
      <c r="AL7" s="82">
        <v>1175100</v>
      </c>
      <c r="AM7" s="82">
        <v>0</v>
      </c>
      <c r="AN7" s="82">
        <v>677100</v>
      </c>
      <c r="AO7" s="83">
        <f t="shared" si="3"/>
        <v>26619500</v>
      </c>
      <c r="AP7" s="84">
        <v>596600</v>
      </c>
      <c r="AQ7" s="84">
        <v>2098602.29</v>
      </c>
      <c r="AR7" s="84">
        <v>23000</v>
      </c>
      <c r="AS7" s="85">
        <f t="shared" si="4"/>
        <v>2718202.29</v>
      </c>
      <c r="AT7" s="82">
        <v>250</v>
      </c>
      <c r="AU7" s="82">
        <v>3500</v>
      </c>
      <c r="AV7" s="82"/>
      <c r="AW7" s="82" t="s">
        <v>224</v>
      </c>
      <c r="AX7" s="82" t="s">
        <v>223</v>
      </c>
      <c r="AY7" s="82" t="s">
        <v>223</v>
      </c>
      <c r="AZ7" s="82"/>
      <c r="BA7" s="82"/>
      <c r="BB7" s="82"/>
      <c r="BC7" s="82"/>
      <c r="BD7" s="82" t="s">
        <v>266</v>
      </c>
      <c r="BE7" s="82" t="s">
        <v>266</v>
      </c>
      <c r="BF7" s="82" t="s">
        <v>225</v>
      </c>
      <c r="BG7" s="82" t="s">
        <v>225</v>
      </c>
      <c r="BH7" s="82" t="s">
        <v>225</v>
      </c>
      <c r="BI7" s="82" t="s">
        <v>225</v>
      </c>
      <c r="BJ7" s="82" t="s">
        <v>224</v>
      </c>
      <c r="BK7" s="82"/>
      <c r="BL7" s="86">
        <f aca="true" t="shared" si="15" ref="BL7:BL59">SUM(AV7:BK7)</f>
        <v>0</v>
      </c>
      <c r="BM7" s="86"/>
      <c r="BN7" s="86"/>
      <c r="BO7" s="86"/>
      <c r="BP7" s="87"/>
      <c r="BQ7" s="77"/>
      <c r="BR7" s="77"/>
      <c r="BS7" s="88">
        <f>ROUND(X7/I7*100,3)+0.001</f>
        <v>-0.009000000000000001</v>
      </c>
      <c r="BT7" s="88">
        <f aca="true" t="shared" si="16" ref="BT7:BT57">ROUND(Y7/I7*100,3)</f>
        <v>0.02</v>
      </c>
      <c r="BU7" s="88">
        <f aca="true" t="shared" si="17" ref="BU7:BU58">ROUND(Z7/I7*100,3)</f>
        <v>0</v>
      </c>
      <c r="BV7" s="88">
        <f aca="true" t="shared" si="18" ref="BV7:BV57">ROUND(AA7/I7*100,3)</f>
        <v>0.017</v>
      </c>
      <c r="BW7" s="88">
        <f aca="true" t="shared" si="19" ref="BW7:BW58">ROUND(AB7/I7*100,3)</f>
        <v>0.038</v>
      </c>
      <c r="BX7" s="88">
        <f t="shared" si="5"/>
        <v>0</v>
      </c>
      <c r="BY7" s="88">
        <f t="shared" si="6"/>
        <v>0</v>
      </c>
      <c r="BZ7" s="88">
        <f aca="true" t="shared" si="20" ref="BZ7:BZ58">ROUND(AE7/I7*100,3)</f>
        <v>0.461</v>
      </c>
      <c r="CA7" s="88">
        <f aca="true" t="shared" si="21" ref="CA7:CA58">ROUND(AF7/I7*100,3)</f>
        <v>0</v>
      </c>
      <c r="CB7" s="88">
        <f aca="true" t="shared" si="22" ref="CB7:CB58">ROUND(AG7/I7*100,3)</f>
        <v>0</v>
      </c>
      <c r="CC7" s="88">
        <f t="shared" si="7"/>
        <v>0.527</v>
      </c>
      <c r="CD7" s="89">
        <f t="shared" si="8"/>
        <v>85.7</v>
      </c>
      <c r="CE7" s="88">
        <f t="shared" si="9"/>
        <v>0.4498017799725292</v>
      </c>
      <c r="CF7" s="90"/>
      <c r="CG7" s="86"/>
      <c r="CH7" s="86"/>
      <c r="CI7" s="86"/>
      <c r="CJ7" s="91"/>
      <c r="CK7" s="92" t="s">
        <v>227</v>
      </c>
      <c r="CL7" s="93" t="s">
        <v>229</v>
      </c>
      <c r="CM7" s="94">
        <v>710469500</v>
      </c>
      <c r="CN7" s="94">
        <v>560000</v>
      </c>
      <c r="CO7" s="95">
        <f aca="true" t="shared" si="23" ref="CO7:CO46">ROUNDUP(CN7/CM7*100,3)</f>
        <v>0.079</v>
      </c>
      <c r="CP7" s="97"/>
    </row>
    <row r="8" spans="1:94" s="96" customFormat="1" ht="17.25" customHeight="1">
      <c r="A8" s="62" t="s">
        <v>120</v>
      </c>
      <c r="B8" s="63" t="s">
        <v>121</v>
      </c>
      <c r="C8" s="64">
        <v>92433900</v>
      </c>
      <c r="D8" s="64">
        <v>99377500</v>
      </c>
      <c r="E8" s="65">
        <f t="shared" si="0"/>
        <v>191811400</v>
      </c>
      <c r="F8" s="66">
        <v>0</v>
      </c>
      <c r="G8" s="67">
        <f t="shared" si="10"/>
        <v>191811400</v>
      </c>
      <c r="H8" s="68">
        <v>0</v>
      </c>
      <c r="I8" s="65">
        <f t="shared" si="11"/>
        <v>191811400</v>
      </c>
      <c r="J8" s="69">
        <f t="shared" si="12"/>
        <v>2.756</v>
      </c>
      <c r="K8" s="70">
        <v>91.27</v>
      </c>
      <c r="L8" s="71"/>
      <c r="M8" s="72"/>
      <c r="N8" s="64">
        <v>0</v>
      </c>
      <c r="O8" s="73">
        <v>18592441</v>
      </c>
      <c r="P8" s="65">
        <f t="shared" si="13"/>
        <v>210403841</v>
      </c>
      <c r="Q8" s="74">
        <f>ROUND(P8*Q$60,2)+0.01</f>
        <v>0.01</v>
      </c>
      <c r="R8" s="74"/>
      <c r="S8" s="74"/>
      <c r="T8" s="75">
        <v>0</v>
      </c>
      <c r="U8" s="75">
        <v>2131.56</v>
      </c>
      <c r="V8" s="76">
        <f t="shared" si="14"/>
        <v>2131.57</v>
      </c>
      <c r="W8" s="77"/>
      <c r="X8" s="78">
        <f t="shared" si="1"/>
        <v>2131.57</v>
      </c>
      <c r="Y8" s="79">
        <v>37854.19</v>
      </c>
      <c r="Z8" s="79">
        <v>11111.96</v>
      </c>
      <c r="AA8" s="79">
        <v>31679.52</v>
      </c>
      <c r="AB8" s="80">
        <v>0</v>
      </c>
      <c r="AC8" s="80">
        <v>3592962</v>
      </c>
      <c r="AD8" s="80">
        <v>0</v>
      </c>
      <c r="AE8" s="80">
        <v>1523056.6</v>
      </c>
      <c r="AF8" s="80">
        <v>86426.96</v>
      </c>
      <c r="AG8" s="80">
        <v>0</v>
      </c>
      <c r="AH8" s="81">
        <f t="shared" si="2"/>
        <v>5285222.8</v>
      </c>
      <c r="AI8" s="82">
        <v>26448200</v>
      </c>
      <c r="AJ8" s="82">
        <v>0</v>
      </c>
      <c r="AK8" s="82">
        <v>3748600</v>
      </c>
      <c r="AL8" s="82">
        <v>7850100</v>
      </c>
      <c r="AM8" s="82">
        <v>1106000</v>
      </c>
      <c r="AN8" s="82">
        <v>1274600</v>
      </c>
      <c r="AO8" s="83">
        <f t="shared" si="3"/>
        <v>40427500</v>
      </c>
      <c r="AP8" s="84">
        <v>302000</v>
      </c>
      <c r="AQ8" s="84">
        <v>445809.4</v>
      </c>
      <c r="AR8" s="84">
        <v>90000</v>
      </c>
      <c r="AS8" s="85">
        <f t="shared" si="4"/>
        <v>837809.4</v>
      </c>
      <c r="AT8" s="82">
        <v>1750</v>
      </c>
      <c r="AU8" s="82">
        <v>12500</v>
      </c>
      <c r="AV8" s="82"/>
      <c r="AW8" s="82" t="s">
        <v>224</v>
      </c>
      <c r="AX8" s="82" t="s">
        <v>223</v>
      </c>
      <c r="AY8" s="82" t="s">
        <v>223</v>
      </c>
      <c r="AZ8" s="82"/>
      <c r="BA8" s="82"/>
      <c r="BB8" s="82"/>
      <c r="BC8" s="82"/>
      <c r="BD8" s="82" t="s">
        <v>266</v>
      </c>
      <c r="BE8" s="82" t="s">
        <v>266</v>
      </c>
      <c r="BF8" s="82" t="s">
        <v>225</v>
      </c>
      <c r="BG8" s="82" t="s">
        <v>225</v>
      </c>
      <c r="BH8" s="82" t="s">
        <v>225</v>
      </c>
      <c r="BI8" s="82" t="s">
        <v>225</v>
      </c>
      <c r="BJ8" s="82" t="s">
        <v>224</v>
      </c>
      <c r="BK8" s="82" t="s">
        <v>226</v>
      </c>
      <c r="BL8" s="86">
        <f t="shared" si="15"/>
        <v>0</v>
      </c>
      <c r="BM8" s="86"/>
      <c r="BN8" s="86"/>
      <c r="BO8" s="86"/>
      <c r="BP8" s="87"/>
      <c r="BQ8" s="77"/>
      <c r="BR8" s="77"/>
      <c r="BS8" s="88">
        <f>ROUND(X8/I8*100,3)-0.001</f>
        <v>0</v>
      </c>
      <c r="BT8" s="88">
        <f t="shared" si="16"/>
        <v>0.02</v>
      </c>
      <c r="BU8" s="88">
        <f t="shared" si="17"/>
        <v>0.006</v>
      </c>
      <c r="BV8" s="88">
        <f t="shared" si="18"/>
        <v>0.017</v>
      </c>
      <c r="BW8" s="88">
        <f t="shared" si="19"/>
        <v>0</v>
      </c>
      <c r="BX8" s="88">
        <f t="shared" si="5"/>
        <v>1.873</v>
      </c>
      <c r="BY8" s="88">
        <f t="shared" si="6"/>
        <v>0</v>
      </c>
      <c r="BZ8" s="88">
        <f t="shared" si="20"/>
        <v>0.794</v>
      </c>
      <c r="CA8" s="88">
        <f t="shared" si="21"/>
        <v>0.045</v>
      </c>
      <c r="CB8" s="88">
        <f t="shared" si="22"/>
        <v>0</v>
      </c>
      <c r="CC8" s="88">
        <f t="shared" si="7"/>
        <v>2.756</v>
      </c>
      <c r="CD8" s="89">
        <f t="shared" si="8"/>
        <v>91.27</v>
      </c>
      <c r="CE8" s="88">
        <f t="shared" si="9"/>
        <v>2.5119421655425005</v>
      </c>
      <c r="CF8" s="90"/>
      <c r="CG8" s="86"/>
      <c r="CH8" s="86"/>
      <c r="CI8" s="86"/>
      <c r="CJ8" s="91"/>
      <c r="CK8" s="92" t="s">
        <v>227</v>
      </c>
      <c r="CL8" s="93" t="s">
        <v>230</v>
      </c>
      <c r="CM8" s="94">
        <v>1729101139</v>
      </c>
      <c r="CN8" s="94">
        <v>2316795</v>
      </c>
      <c r="CO8" s="95">
        <f t="shared" si="23"/>
        <v>0.134</v>
      </c>
      <c r="CP8" s="97"/>
    </row>
    <row r="9" spans="1:94" s="96" customFormat="1" ht="17.25" customHeight="1">
      <c r="A9" s="62" t="s">
        <v>122</v>
      </c>
      <c r="B9" s="63" t="s">
        <v>123</v>
      </c>
      <c r="C9" s="64">
        <v>594329900</v>
      </c>
      <c r="D9" s="64">
        <v>705050800</v>
      </c>
      <c r="E9" s="65">
        <f t="shared" si="0"/>
        <v>1299380700</v>
      </c>
      <c r="F9" s="66">
        <v>7759600</v>
      </c>
      <c r="G9" s="67">
        <f t="shared" si="10"/>
        <v>1291621100</v>
      </c>
      <c r="H9" s="68">
        <v>0</v>
      </c>
      <c r="I9" s="65">
        <f t="shared" si="11"/>
        <v>1291621100</v>
      </c>
      <c r="J9" s="69">
        <f t="shared" si="12"/>
        <v>1.855</v>
      </c>
      <c r="K9" s="70">
        <v>91.74</v>
      </c>
      <c r="L9" s="71"/>
      <c r="M9" s="72"/>
      <c r="N9" s="64">
        <v>0</v>
      </c>
      <c r="O9" s="73">
        <v>141058573</v>
      </c>
      <c r="P9" s="65">
        <f t="shared" si="13"/>
        <v>1432679673</v>
      </c>
      <c r="Q9" s="74">
        <f>ROUND(P9*Q$60,2)+0.04</f>
        <v>0.04</v>
      </c>
      <c r="R9" s="74"/>
      <c r="S9" s="74"/>
      <c r="T9" s="75">
        <v>0</v>
      </c>
      <c r="U9" s="75">
        <v>13419.14</v>
      </c>
      <c r="V9" s="76">
        <f t="shared" si="14"/>
        <v>13419.18</v>
      </c>
      <c r="W9" s="77"/>
      <c r="X9" s="78">
        <f t="shared" si="1"/>
        <v>13419.18</v>
      </c>
      <c r="Y9" s="79">
        <v>0</v>
      </c>
      <c r="Z9" s="79">
        <v>75672.28</v>
      </c>
      <c r="AA9" s="79">
        <v>215645.43</v>
      </c>
      <c r="AB9" s="80">
        <v>6953839</v>
      </c>
      <c r="AC9" s="80">
        <v>0</v>
      </c>
      <c r="AD9" s="80">
        <v>0</v>
      </c>
      <c r="AE9" s="80">
        <v>16221681.08</v>
      </c>
      <c r="AF9" s="80">
        <v>0</v>
      </c>
      <c r="AG9" s="80">
        <v>466772</v>
      </c>
      <c r="AH9" s="81">
        <f t="shared" si="2"/>
        <v>23947028.97</v>
      </c>
      <c r="AI9" s="82">
        <v>74260400</v>
      </c>
      <c r="AJ9" s="82">
        <v>9747700</v>
      </c>
      <c r="AK9" s="82">
        <v>200281600</v>
      </c>
      <c r="AL9" s="82">
        <v>54655000</v>
      </c>
      <c r="AM9" s="82">
        <v>0</v>
      </c>
      <c r="AN9" s="82">
        <v>232786900</v>
      </c>
      <c r="AO9" s="83">
        <f t="shared" si="3"/>
        <v>571731600</v>
      </c>
      <c r="AP9" s="84">
        <v>2541637.69</v>
      </c>
      <c r="AQ9" s="84">
        <v>22990944.28</v>
      </c>
      <c r="AR9" s="84">
        <v>50000</v>
      </c>
      <c r="AS9" s="85">
        <f t="shared" si="4"/>
        <v>25582581.970000003</v>
      </c>
      <c r="AT9" s="82">
        <v>10750</v>
      </c>
      <c r="AU9" s="82">
        <v>15000</v>
      </c>
      <c r="AV9" s="82"/>
      <c r="AW9" s="82" t="s">
        <v>224</v>
      </c>
      <c r="AX9" s="82" t="s">
        <v>223</v>
      </c>
      <c r="AY9" s="82" t="s">
        <v>223</v>
      </c>
      <c r="AZ9" s="82"/>
      <c r="BA9" s="82"/>
      <c r="BB9" s="82"/>
      <c r="BC9" s="82"/>
      <c r="BD9" s="82" t="s">
        <v>266</v>
      </c>
      <c r="BE9" s="82" t="s">
        <v>266</v>
      </c>
      <c r="BF9" s="82">
        <v>68400</v>
      </c>
      <c r="BG9" s="82">
        <v>6522400</v>
      </c>
      <c r="BH9" s="82" t="s">
        <v>225</v>
      </c>
      <c r="BI9" s="82" t="s">
        <v>225</v>
      </c>
      <c r="BJ9" s="82" t="s">
        <v>224</v>
      </c>
      <c r="BK9" s="82">
        <v>1168800</v>
      </c>
      <c r="BL9" s="86">
        <f t="shared" si="15"/>
        <v>7759600</v>
      </c>
      <c r="BM9" s="86"/>
      <c r="BN9" s="86"/>
      <c r="BO9" s="86"/>
      <c r="BP9" s="87"/>
      <c r="BQ9" s="77"/>
      <c r="BR9" s="77"/>
      <c r="BS9" s="88">
        <f aca="true" t="shared" si="24" ref="BS9:BS59">ROUND(X9/I9*100,3)</f>
        <v>0.001</v>
      </c>
      <c r="BT9" s="88">
        <f t="shared" si="16"/>
        <v>0</v>
      </c>
      <c r="BU9" s="88">
        <f t="shared" si="17"/>
        <v>0.006</v>
      </c>
      <c r="BV9" s="88">
        <f t="shared" si="18"/>
        <v>0.017</v>
      </c>
      <c r="BW9" s="88">
        <f t="shared" si="19"/>
        <v>0.538</v>
      </c>
      <c r="BX9" s="88">
        <f t="shared" si="5"/>
        <v>0</v>
      </c>
      <c r="BY9" s="88">
        <f t="shared" si="6"/>
        <v>0</v>
      </c>
      <c r="BZ9" s="88">
        <f t="shared" si="20"/>
        <v>1.256</v>
      </c>
      <c r="CA9" s="88">
        <f t="shared" si="21"/>
        <v>0</v>
      </c>
      <c r="CB9" s="88">
        <f t="shared" si="22"/>
        <v>0.036</v>
      </c>
      <c r="CC9" s="88">
        <f t="shared" si="7"/>
        <v>1.855</v>
      </c>
      <c r="CD9" s="89">
        <f t="shared" si="8"/>
        <v>91.74</v>
      </c>
      <c r="CE9" s="88">
        <f t="shared" si="9"/>
        <v>1.671485219013085</v>
      </c>
      <c r="CF9" s="90"/>
      <c r="CG9" s="86"/>
      <c r="CH9" s="86"/>
      <c r="CI9" s="86"/>
      <c r="CJ9" s="91"/>
      <c r="CK9" s="92" t="s">
        <v>231</v>
      </c>
      <c r="CL9" s="93" t="s">
        <v>232</v>
      </c>
      <c r="CM9" s="94">
        <v>48694600</v>
      </c>
      <c r="CN9" s="94">
        <v>93006.69</v>
      </c>
      <c r="CO9" s="95">
        <f t="shared" si="23"/>
        <v>0.192</v>
      </c>
      <c r="CP9" s="97"/>
    </row>
    <row r="10" spans="1:94" s="96" customFormat="1" ht="17.25" customHeight="1">
      <c r="A10" s="62" t="s">
        <v>124</v>
      </c>
      <c r="B10" s="63" t="s">
        <v>125</v>
      </c>
      <c r="C10" s="64">
        <v>384011500</v>
      </c>
      <c r="D10" s="64">
        <v>252479100</v>
      </c>
      <c r="E10" s="65">
        <f t="shared" si="0"/>
        <v>636490600</v>
      </c>
      <c r="F10" s="66">
        <v>1747600</v>
      </c>
      <c r="G10" s="67">
        <f t="shared" si="10"/>
        <v>634743000</v>
      </c>
      <c r="H10" s="68">
        <v>1299670</v>
      </c>
      <c r="I10" s="65">
        <f t="shared" si="11"/>
        <v>636042670</v>
      </c>
      <c r="J10" s="69">
        <f t="shared" si="12"/>
        <v>2.302</v>
      </c>
      <c r="K10" s="70">
        <v>82.04</v>
      </c>
      <c r="L10" s="71"/>
      <c r="M10" s="72"/>
      <c r="N10" s="64">
        <v>0</v>
      </c>
      <c r="O10" s="73">
        <v>140534166</v>
      </c>
      <c r="P10" s="65">
        <f t="shared" si="13"/>
        <v>776576836</v>
      </c>
      <c r="Q10" s="74">
        <f>ROUND(P10*Q$60,2)+0.02</f>
        <v>0.02</v>
      </c>
      <c r="R10" s="74"/>
      <c r="S10" s="74"/>
      <c r="T10" s="75">
        <v>0</v>
      </c>
      <c r="U10" s="75">
        <v>2434.84</v>
      </c>
      <c r="V10" s="76">
        <f t="shared" si="14"/>
        <v>2434.86</v>
      </c>
      <c r="W10" s="77"/>
      <c r="X10" s="78">
        <f t="shared" si="1"/>
        <v>2434.86</v>
      </c>
      <c r="Y10" s="79">
        <v>139372.81</v>
      </c>
      <c r="Z10" s="79">
        <v>40918.26</v>
      </c>
      <c r="AA10" s="79">
        <v>116619.23</v>
      </c>
      <c r="AB10" s="80">
        <v>4826344</v>
      </c>
      <c r="AC10" s="80">
        <v>4056243</v>
      </c>
      <c r="AD10" s="80">
        <v>0</v>
      </c>
      <c r="AE10" s="80">
        <v>5395169.06</v>
      </c>
      <c r="AF10" s="80">
        <v>63604.27</v>
      </c>
      <c r="AG10" s="80">
        <v>0</v>
      </c>
      <c r="AH10" s="81">
        <f t="shared" si="2"/>
        <v>14640705.489999998</v>
      </c>
      <c r="AI10" s="82">
        <v>4046200</v>
      </c>
      <c r="AJ10" s="82">
        <v>0</v>
      </c>
      <c r="AK10" s="82">
        <v>42344000</v>
      </c>
      <c r="AL10" s="82">
        <v>13281500</v>
      </c>
      <c r="AM10" s="82">
        <v>0</v>
      </c>
      <c r="AN10" s="82">
        <v>6877100</v>
      </c>
      <c r="AO10" s="83">
        <f t="shared" si="3"/>
        <v>66548800</v>
      </c>
      <c r="AP10" s="84">
        <v>595000</v>
      </c>
      <c r="AQ10" s="84">
        <v>1696648.45</v>
      </c>
      <c r="AR10" s="84">
        <v>138975.91</v>
      </c>
      <c r="AS10" s="85">
        <f t="shared" si="4"/>
        <v>2430624.3600000003</v>
      </c>
      <c r="AT10" s="82">
        <v>4750</v>
      </c>
      <c r="AU10" s="82">
        <v>32750</v>
      </c>
      <c r="AV10" s="82"/>
      <c r="AW10" s="82" t="s">
        <v>224</v>
      </c>
      <c r="AX10" s="82" t="s">
        <v>223</v>
      </c>
      <c r="AY10" s="82" t="s">
        <v>223</v>
      </c>
      <c r="AZ10" s="82"/>
      <c r="BA10" s="82"/>
      <c r="BB10" s="82"/>
      <c r="BC10" s="82"/>
      <c r="BD10" s="82" t="s">
        <v>266</v>
      </c>
      <c r="BE10" s="82">
        <v>863600</v>
      </c>
      <c r="BF10" s="82"/>
      <c r="BG10" s="82"/>
      <c r="BH10" s="82">
        <v>821400</v>
      </c>
      <c r="BI10" s="82" t="s">
        <v>225</v>
      </c>
      <c r="BJ10" s="82" t="s">
        <v>225</v>
      </c>
      <c r="BK10" s="82">
        <v>62600</v>
      </c>
      <c r="BL10" s="86">
        <f t="shared" si="15"/>
        <v>1747600</v>
      </c>
      <c r="BM10" s="86"/>
      <c r="BN10" s="86"/>
      <c r="BO10" s="86"/>
      <c r="BP10" s="87"/>
      <c r="BQ10" s="77"/>
      <c r="BR10" s="77"/>
      <c r="BS10" s="88">
        <f t="shared" si="24"/>
        <v>0</v>
      </c>
      <c r="BT10" s="88">
        <f t="shared" si="16"/>
        <v>0.022</v>
      </c>
      <c r="BU10" s="88">
        <f>ROUNDUP(Z10/I10*100,3)</f>
        <v>0.007</v>
      </c>
      <c r="BV10" s="88">
        <f t="shared" si="18"/>
        <v>0.018</v>
      </c>
      <c r="BW10" s="88">
        <f t="shared" si="19"/>
        <v>0.759</v>
      </c>
      <c r="BX10" s="88">
        <f t="shared" si="5"/>
        <v>0.638</v>
      </c>
      <c r="BY10" s="88">
        <f t="shared" si="6"/>
        <v>0</v>
      </c>
      <c r="BZ10" s="88">
        <f t="shared" si="20"/>
        <v>0.848</v>
      </c>
      <c r="CA10" s="88">
        <f t="shared" si="21"/>
        <v>0.01</v>
      </c>
      <c r="CB10" s="88">
        <f t="shared" si="22"/>
        <v>0</v>
      </c>
      <c r="CC10" s="88">
        <f t="shared" si="7"/>
        <v>2.302</v>
      </c>
      <c r="CD10" s="89">
        <f t="shared" si="8"/>
        <v>82.04</v>
      </c>
      <c r="CE10" s="88">
        <f t="shared" si="9"/>
        <v>1.8852874321376227</v>
      </c>
      <c r="CF10" s="90"/>
      <c r="CG10" s="86"/>
      <c r="CH10" s="86"/>
      <c r="CI10" s="86"/>
      <c r="CJ10" s="91"/>
      <c r="CK10" s="92" t="s">
        <v>231</v>
      </c>
      <c r="CL10" s="93" t="s">
        <v>233</v>
      </c>
      <c r="CM10" s="94">
        <v>36031100</v>
      </c>
      <c r="CN10" s="94">
        <v>34589.86</v>
      </c>
      <c r="CO10" s="95">
        <f>ROUNDUP(CN10/CM10*100,3)-0.001</f>
        <v>0.096</v>
      </c>
      <c r="CP10" s="97"/>
    </row>
    <row r="11" spans="1:94" s="96" customFormat="1" ht="17.25" customHeight="1">
      <c r="A11" s="62" t="s">
        <v>126</v>
      </c>
      <c r="B11" s="63" t="s">
        <v>127</v>
      </c>
      <c r="C11" s="64">
        <v>620575500</v>
      </c>
      <c r="D11" s="64">
        <v>286216000</v>
      </c>
      <c r="E11" s="65">
        <f t="shared" si="0"/>
        <v>906791500</v>
      </c>
      <c r="F11" s="66">
        <v>0</v>
      </c>
      <c r="G11" s="67">
        <f t="shared" si="10"/>
        <v>906791500</v>
      </c>
      <c r="H11" s="68">
        <v>0</v>
      </c>
      <c r="I11" s="65">
        <f t="shared" si="11"/>
        <v>906791500</v>
      </c>
      <c r="J11" s="69">
        <f t="shared" si="12"/>
        <v>0.859</v>
      </c>
      <c r="K11" s="70">
        <v>92.28</v>
      </c>
      <c r="L11" s="71"/>
      <c r="M11" s="72"/>
      <c r="N11" s="64">
        <v>0</v>
      </c>
      <c r="O11" s="73">
        <v>77182605</v>
      </c>
      <c r="P11" s="65">
        <f t="shared" si="13"/>
        <v>983974105</v>
      </c>
      <c r="Q11" s="74">
        <f>ROUND(P11*Q$60,2)+0.03</f>
        <v>0.03</v>
      </c>
      <c r="R11" s="74"/>
      <c r="S11" s="74"/>
      <c r="T11" s="75">
        <v>0</v>
      </c>
      <c r="U11" s="75">
        <v>7848.72</v>
      </c>
      <c r="V11" s="76">
        <f t="shared" si="14"/>
        <v>7848.75</v>
      </c>
      <c r="W11" s="77"/>
      <c r="X11" s="78">
        <f t="shared" si="1"/>
        <v>7848.75</v>
      </c>
      <c r="Y11" s="79">
        <v>0</v>
      </c>
      <c r="Z11" s="79">
        <v>51947.29</v>
      </c>
      <c r="AA11" s="79">
        <v>148012.5</v>
      </c>
      <c r="AB11" s="80">
        <v>3691549</v>
      </c>
      <c r="AC11" s="80">
        <v>0</v>
      </c>
      <c r="AD11" s="80">
        <v>0</v>
      </c>
      <c r="AE11" s="80">
        <v>3557124.38</v>
      </c>
      <c r="AF11" s="80">
        <v>0</v>
      </c>
      <c r="AG11" s="80">
        <v>325351</v>
      </c>
      <c r="AH11" s="81">
        <f t="shared" si="2"/>
        <v>7781832.92</v>
      </c>
      <c r="AI11" s="82">
        <v>3700600</v>
      </c>
      <c r="AJ11" s="82">
        <v>0</v>
      </c>
      <c r="AK11" s="82">
        <v>20202000</v>
      </c>
      <c r="AL11" s="82">
        <v>5839000</v>
      </c>
      <c r="AM11" s="82">
        <v>0</v>
      </c>
      <c r="AN11" s="82">
        <v>6220600</v>
      </c>
      <c r="AO11" s="83">
        <f t="shared" si="3"/>
        <v>35962200</v>
      </c>
      <c r="AP11" s="84">
        <v>494000</v>
      </c>
      <c r="AQ11" s="84">
        <v>776705.17</v>
      </c>
      <c r="AR11" s="84">
        <v>149000</v>
      </c>
      <c r="AS11" s="85">
        <f t="shared" si="4"/>
        <v>1419705.17</v>
      </c>
      <c r="AT11" s="82">
        <v>1250</v>
      </c>
      <c r="AU11" s="82">
        <v>16250</v>
      </c>
      <c r="AV11" s="82"/>
      <c r="AW11" s="82" t="s">
        <v>224</v>
      </c>
      <c r="AX11" s="82" t="s">
        <v>223</v>
      </c>
      <c r="AY11" s="82" t="s">
        <v>223</v>
      </c>
      <c r="AZ11" s="82"/>
      <c r="BA11" s="82"/>
      <c r="BB11" s="82"/>
      <c r="BC11" s="82"/>
      <c r="BD11" s="82"/>
      <c r="BE11" s="82"/>
      <c r="BF11" s="82" t="s">
        <v>225</v>
      </c>
      <c r="BG11" s="82"/>
      <c r="BH11" s="82"/>
      <c r="BI11" s="82"/>
      <c r="BJ11" s="82"/>
      <c r="BK11" s="82"/>
      <c r="BL11" s="86">
        <f t="shared" si="15"/>
        <v>0</v>
      </c>
      <c r="BM11" s="86"/>
      <c r="BN11" s="86"/>
      <c r="BO11" s="86"/>
      <c r="BP11" s="87"/>
      <c r="BQ11" s="77"/>
      <c r="BR11" s="77"/>
      <c r="BS11" s="88">
        <f t="shared" si="24"/>
        <v>0.001</v>
      </c>
      <c r="BT11" s="88">
        <f t="shared" si="16"/>
        <v>0</v>
      </c>
      <c r="BU11" s="88">
        <f t="shared" si="17"/>
        <v>0.006</v>
      </c>
      <c r="BV11" s="88">
        <f>ROUNDUP(AA11/I11*100,3)</f>
        <v>0.017</v>
      </c>
      <c r="BW11" s="88">
        <f t="shared" si="19"/>
        <v>0.407</v>
      </c>
      <c r="BX11" s="88">
        <f t="shared" si="5"/>
        <v>0</v>
      </c>
      <c r="BY11" s="88">
        <f t="shared" si="6"/>
        <v>0</v>
      </c>
      <c r="BZ11" s="88">
        <f t="shared" si="20"/>
        <v>0.392</v>
      </c>
      <c r="CA11" s="88">
        <f t="shared" si="21"/>
        <v>0</v>
      </c>
      <c r="CB11" s="88">
        <f t="shared" si="22"/>
        <v>0.036</v>
      </c>
      <c r="CC11" s="88">
        <f t="shared" si="7"/>
        <v>0.859</v>
      </c>
      <c r="CD11" s="89">
        <f t="shared" si="8"/>
        <v>92.28</v>
      </c>
      <c r="CE11" s="88">
        <f t="shared" si="9"/>
        <v>0.790857491112533</v>
      </c>
      <c r="CF11" s="90"/>
      <c r="CG11" s="86"/>
      <c r="CH11" s="86"/>
      <c r="CI11" s="86"/>
      <c r="CJ11" s="91"/>
      <c r="CK11" s="92" t="s">
        <v>234</v>
      </c>
      <c r="CL11" s="93" t="s">
        <v>228</v>
      </c>
      <c r="CM11" s="94">
        <v>240537900</v>
      </c>
      <c r="CN11" s="94">
        <v>469000</v>
      </c>
      <c r="CO11" s="95">
        <f t="shared" si="23"/>
        <v>0.195</v>
      </c>
      <c r="CP11" s="97"/>
    </row>
    <row r="12" spans="1:94" s="96" customFormat="1" ht="17.25" customHeight="1">
      <c r="A12" s="62" t="s">
        <v>128</v>
      </c>
      <c r="B12" s="63" t="s">
        <v>129</v>
      </c>
      <c r="C12" s="64">
        <v>544280800</v>
      </c>
      <c r="D12" s="64">
        <v>506113800</v>
      </c>
      <c r="E12" s="65">
        <f t="shared" si="0"/>
        <v>1050394600</v>
      </c>
      <c r="F12" s="66">
        <v>865500</v>
      </c>
      <c r="G12" s="67">
        <f t="shared" si="10"/>
        <v>1049529100</v>
      </c>
      <c r="H12" s="68">
        <v>0</v>
      </c>
      <c r="I12" s="65">
        <f t="shared" si="11"/>
        <v>1049529100</v>
      </c>
      <c r="J12" s="69">
        <f t="shared" si="12"/>
        <v>1.529</v>
      </c>
      <c r="K12" s="70">
        <v>68.6</v>
      </c>
      <c r="L12" s="71"/>
      <c r="M12" s="72"/>
      <c r="N12" s="64">
        <v>0</v>
      </c>
      <c r="O12" s="73">
        <v>484794367</v>
      </c>
      <c r="P12" s="65">
        <f t="shared" si="13"/>
        <v>1534323467</v>
      </c>
      <c r="Q12" s="74">
        <f>ROUND(P12*Q$60,2)+0.05</f>
        <v>0.05</v>
      </c>
      <c r="R12" s="74"/>
      <c r="S12" s="74"/>
      <c r="T12" s="75">
        <v>0</v>
      </c>
      <c r="U12" s="75">
        <v>15895.8</v>
      </c>
      <c r="V12" s="76">
        <f t="shared" si="14"/>
        <v>15895.849999999999</v>
      </c>
      <c r="W12" s="77"/>
      <c r="X12" s="78">
        <f t="shared" si="1"/>
        <v>15895.849999999999</v>
      </c>
      <c r="Y12" s="79">
        <v>0</v>
      </c>
      <c r="Z12" s="79">
        <v>81046.96</v>
      </c>
      <c r="AA12" s="79">
        <v>231027.45</v>
      </c>
      <c r="AB12" s="80">
        <v>8518434</v>
      </c>
      <c r="AC12" s="80">
        <v>0</v>
      </c>
      <c r="AD12" s="80">
        <v>0</v>
      </c>
      <c r="AE12" s="80">
        <v>6692786.87</v>
      </c>
      <c r="AF12" s="80">
        <v>0</v>
      </c>
      <c r="AG12" s="80">
        <v>507528.74</v>
      </c>
      <c r="AH12" s="81">
        <f t="shared" si="2"/>
        <v>16046719.87</v>
      </c>
      <c r="AI12" s="82">
        <v>5735300</v>
      </c>
      <c r="AJ12" s="82">
        <v>0</v>
      </c>
      <c r="AK12" s="82">
        <v>88419800</v>
      </c>
      <c r="AL12" s="82">
        <v>17029300</v>
      </c>
      <c r="AM12" s="82">
        <v>0</v>
      </c>
      <c r="AN12" s="82">
        <v>4074900</v>
      </c>
      <c r="AO12" s="83">
        <f t="shared" si="3"/>
        <v>115259300</v>
      </c>
      <c r="AP12" s="84">
        <v>1297816.12</v>
      </c>
      <c r="AQ12" s="84">
        <v>6110981.5</v>
      </c>
      <c r="AR12" s="84">
        <v>575000</v>
      </c>
      <c r="AS12" s="85">
        <f t="shared" si="4"/>
        <v>7983797.62</v>
      </c>
      <c r="AT12" s="82">
        <v>8750</v>
      </c>
      <c r="AU12" s="82">
        <v>31500</v>
      </c>
      <c r="AV12" s="82"/>
      <c r="AW12" s="82" t="s">
        <v>224</v>
      </c>
      <c r="AX12" s="82" t="s">
        <v>223</v>
      </c>
      <c r="AY12" s="82" t="s">
        <v>223</v>
      </c>
      <c r="AZ12" s="82"/>
      <c r="BA12" s="82"/>
      <c r="BB12" s="82"/>
      <c r="BC12" s="82"/>
      <c r="BD12" s="82"/>
      <c r="BE12" s="82" t="s">
        <v>266</v>
      </c>
      <c r="BF12" s="82">
        <v>865500</v>
      </c>
      <c r="BG12" s="82" t="s">
        <v>225</v>
      </c>
      <c r="BH12" s="82" t="s">
        <v>225</v>
      </c>
      <c r="BI12" s="82" t="s">
        <v>225</v>
      </c>
      <c r="BJ12" s="82" t="s">
        <v>224</v>
      </c>
      <c r="BK12" s="82" t="s">
        <v>226</v>
      </c>
      <c r="BL12" s="86">
        <f t="shared" si="15"/>
        <v>865500</v>
      </c>
      <c r="BM12" s="86"/>
      <c r="BN12" s="86"/>
      <c r="BO12" s="86"/>
      <c r="BP12" s="87"/>
      <c r="BQ12" s="77"/>
      <c r="BR12" s="77"/>
      <c r="BS12" s="88">
        <f t="shared" si="24"/>
        <v>0.002</v>
      </c>
      <c r="BT12" s="88">
        <f t="shared" si="16"/>
        <v>0</v>
      </c>
      <c r="BU12" s="88">
        <f t="shared" si="17"/>
        <v>0.008</v>
      </c>
      <c r="BV12" s="88">
        <f t="shared" si="18"/>
        <v>0.022</v>
      </c>
      <c r="BW12" s="88">
        <f t="shared" si="19"/>
        <v>0.812</v>
      </c>
      <c r="BX12" s="88">
        <f t="shared" si="5"/>
        <v>0</v>
      </c>
      <c r="BY12" s="88">
        <f t="shared" si="6"/>
        <v>0</v>
      </c>
      <c r="BZ12" s="88">
        <f t="shared" si="20"/>
        <v>0.638</v>
      </c>
      <c r="CA12" s="88">
        <f t="shared" si="21"/>
        <v>0</v>
      </c>
      <c r="CB12" s="88">
        <f t="shared" si="22"/>
        <v>0.048</v>
      </c>
      <c r="CC12" s="88">
        <f t="shared" si="7"/>
        <v>1.529</v>
      </c>
      <c r="CD12" s="89">
        <f t="shared" si="8"/>
        <v>68.6</v>
      </c>
      <c r="CE12" s="88">
        <f t="shared" si="9"/>
        <v>1.0458498625049055</v>
      </c>
      <c r="CF12" s="90"/>
      <c r="CG12" s="86"/>
      <c r="CH12" s="86"/>
      <c r="CI12" s="86"/>
      <c r="CJ12" s="91"/>
      <c r="CK12" s="92" t="s">
        <v>235</v>
      </c>
      <c r="CL12" s="93" t="s">
        <v>232</v>
      </c>
      <c r="CM12" s="94">
        <v>128317500</v>
      </c>
      <c r="CN12" s="94">
        <v>245000</v>
      </c>
      <c r="CO12" s="95">
        <f t="shared" si="23"/>
        <v>0.191</v>
      </c>
      <c r="CP12" s="97"/>
    </row>
    <row r="13" spans="1:94" s="96" customFormat="1" ht="17.25" customHeight="1">
      <c r="A13" s="62" t="s">
        <v>130</v>
      </c>
      <c r="B13" s="63" t="s">
        <v>131</v>
      </c>
      <c r="C13" s="64">
        <v>744104200</v>
      </c>
      <c r="D13" s="64">
        <v>402087300</v>
      </c>
      <c r="E13" s="65">
        <f t="shared" si="0"/>
        <v>1146191500</v>
      </c>
      <c r="F13" s="66">
        <v>0</v>
      </c>
      <c r="G13" s="67">
        <f t="shared" si="10"/>
        <v>1146191500</v>
      </c>
      <c r="H13" s="68">
        <v>0</v>
      </c>
      <c r="I13" s="65">
        <f t="shared" si="11"/>
        <v>1146191500</v>
      </c>
      <c r="J13" s="69">
        <f t="shared" si="12"/>
        <v>1.1389999999999998</v>
      </c>
      <c r="K13" s="70">
        <v>100.93</v>
      </c>
      <c r="L13" s="71"/>
      <c r="M13" s="72"/>
      <c r="N13" s="98">
        <v>7988620</v>
      </c>
      <c r="O13" s="73">
        <v>0</v>
      </c>
      <c r="P13" s="65">
        <f t="shared" si="13"/>
        <v>1138202880</v>
      </c>
      <c r="Q13" s="74">
        <f>ROUND(P13*Q$60,2)+0.04</f>
        <v>0.04</v>
      </c>
      <c r="R13" s="74"/>
      <c r="S13" s="74"/>
      <c r="T13" s="75">
        <v>0</v>
      </c>
      <c r="U13" s="75">
        <v>8465.97</v>
      </c>
      <c r="V13" s="76">
        <f t="shared" si="14"/>
        <v>8466.01</v>
      </c>
      <c r="W13" s="77"/>
      <c r="X13" s="78">
        <f t="shared" si="1"/>
        <v>8466.01</v>
      </c>
      <c r="Y13" s="79">
        <v>0</v>
      </c>
      <c r="Z13" s="79">
        <v>60056.57</v>
      </c>
      <c r="AA13" s="79">
        <v>171210.22</v>
      </c>
      <c r="AB13" s="80">
        <v>5887771</v>
      </c>
      <c r="AC13" s="80">
        <v>0</v>
      </c>
      <c r="AD13" s="80">
        <v>0</v>
      </c>
      <c r="AE13" s="80">
        <v>6544606.91</v>
      </c>
      <c r="AF13" s="80">
        <v>0</v>
      </c>
      <c r="AG13" s="80">
        <v>377733.26</v>
      </c>
      <c r="AH13" s="81">
        <f t="shared" si="2"/>
        <v>13049843.97</v>
      </c>
      <c r="AI13" s="82">
        <v>4778500</v>
      </c>
      <c r="AJ13" s="82">
        <v>0</v>
      </c>
      <c r="AK13" s="82">
        <v>32527500</v>
      </c>
      <c r="AL13" s="82">
        <v>16916900</v>
      </c>
      <c r="AM13" s="82">
        <v>0</v>
      </c>
      <c r="AN13" s="82">
        <v>2694200</v>
      </c>
      <c r="AO13" s="83">
        <f t="shared" si="3"/>
        <v>56917100</v>
      </c>
      <c r="AP13" s="84">
        <v>785870.92</v>
      </c>
      <c r="AQ13" s="84">
        <v>1475074.17</v>
      </c>
      <c r="AR13" s="84">
        <v>169000</v>
      </c>
      <c r="AS13" s="85">
        <f t="shared" si="4"/>
        <v>2429945.09</v>
      </c>
      <c r="AT13" s="82">
        <v>3250</v>
      </c>
      <c r="AU13" s="82">
        <v>26000</v>
      </c>
      <c r="AV13" s="82"/>
      <c r="AW13" s="82" t="s">
        <v>224</v>
      </c>
      <c r="AX13" s="82" t="s">
        <v>223</v>
      </c>
      <c r="AY13" s="82" t="s">
        <v>223</v>
      </c>
      <c r="AZ13" s="82"/>
      <c r="BA13" s="82"/>
      <c r="BB13" s="82"/>
      <c r="BC13" s="82"/>
      <c r="BD13" s="82"/>
      <c r="BE13" s="82"/>
      <c r="BF13" s="82" t="s">
        <v>225</v>
      </c>
      <c r="BG13" s="82" t="s">
        <v>225</v>
      </c>
      <c r="BH13" s="82" t="s">
        <v>225</v>
      </c>
      <c r="BI13" s="82" t="s">
        <v>225</v>
      </c>
      <c r="BJ13" s="82" t="s">
        <v>224</v>
      </c>
      <c r="BK13" s="82"/>
      <c r="BL13" s="86">
        <f t="shared" si="15"/>
        <v>0</v>
      </c>
      <c r="BM13" s="86"/>
      <c r="BN13" s="86"/>
      <c r="BO13" s="86"/>
      <c r="BP13" s="87"/>
      <c r="BQ13" s="77"/>
      <c r="BR13" s="77"/>
      <c r="BS13" s="88">
        <f t="shared" si="24"/>
        <v>0.001</v>
      </c>
      <c r="BT13" s="88">
        <f t="shared" si="16"/>
        <v>0</v>
      </c>
      <c r="BU13" s="88">
        <f t="shared" si="17"/>
        <v>0.005</v>
      </c>
      <c r="BV13" s="88">
        <f t="shared" si="18"/>
        <v>0.015</v>
      </c>
      <c r="BW13" s="88">
        <f t="shared" si="19"/>
        <v>0.514</v>
      </c>
      <c r="BX13" s="88">
        <f t="shared" si="5"/>
        <v>0</v>
      </c>
      <c r="BY13" s="88">
        <f t="shared" si="6"/>
        <v>0</v>
      </c>
      <c r="BZ13" s="88">
        <f t="shared" si="20"/>
        <v>0.571</v>
      </c>
      <c r="CA13" s="88">
        <f t="shared" si="21"/>
        <v>0</v>
      </c>
      <c r="CB13" s="88">
        <f t="shared" si="22"/>
        <v>0.033</v>
      </c>
      <c r="CC13" s="88">
        <f t="shared" si="7"/>
        <v>1.1389999999999998</v>
      </c>
      <c r="CD13" s="89">
        <f t="shared" si="8"/>
        <v>100.93</v>
      </c>
      <c r="CE13" s="88">
        <f t="shared" si="9"/>
        <v>1.1465305701914934</v>
      </c>
      <c r="CF13" s="90"/>
      <c r="CG13" s="86"/>
      <c r="CH13" s="86"/>
      <c r="CI13" s="86"/>
      <c r="CJ13" s="91"/>
      <c r="CK13" s="92" t="s">
        <v>236</v>
      </c>
      <c r="CL13" s="93" t="s">
        <v>228</v>
      </c>
      <c r="CM13" s="94">
        <v>3331116600</v>
      </c>
      <c r="CN13" s="94">
        <v>1085000</v>
      </c>
      <c r="CO13" s="95">
        <f t="shared" si="23"/>
        <v>0.033</v>
      </c>
      <c r="CP13" s="97"/>
    </row>
    <row r="14" spans="1:94" s="96" customFormat="1" ht="17.25" customHeight="1">
      <c r="A14" s="62" t="s">
        <v>132</v>
      </c>
      <c r="B14" s="63" t="s">
        <v>133</v>
      </c>
      <c r="C14" s="64">
        <v>802714600</v>
      </c>
      <c r="D14" s="64">
        <v>641428700</v>
      </c>
      <c r="E14" s="65">
        <f t="shared" si="0"/>
        <v>1444143300</v>
      </c>
      <c r="F14" s="66">
        <v>0</v>
      </c>
      <c r="G14" s="67">
        <f t="shared" si="10"/>
        <v>1444143300</v>
      </c>
      <c r="H14" s="68">
        <v>0</v>
      </c>
      <c r="I14" s="65">
        <f t="shared" si="11"/>
        <v>1444143300</v>
      </c>
      <c r="J14" s="69">
        <f t="shared" si="12"/>
        <v>1.4009999999999998</v>
      </c>
      <c r="K14" s="70">
        <v>104.64</v>
      </c>
      <c r="L14" s="71"/>
      <c r="M14" s="72"/>
      <c r="N14" s="64">
        <v>61987922</v>
      </c>
      <c r="O14" s="73">
        <v>0</v>
      </c>
      <c r="P14" s="65">
        <f t="shared" si="13"/>
        <v>1382155378</v>
      </c>
      <c r="Q14" s="74">
        <f>ROUND(P14*Q$60,2)+0.04</f>
        <v>0.04</v>
      </c>
      <c r="R14" s="74"/>
      <c r="S14" s="74"/>
      <c r="T14" s="75">
        <v>0</v>
      </c>
      <c r="U14" s="75">
        <v>53318.09</v>
      </c>
      <c r="V14" s="76">
        <f t="shared" si="14"/>
        <v>53318.13</v>
      </c>
      <c r="W14" s="77"/>
      <c r="X14" s="78">
        <f t="shared" si="1"/>
        <v>53318.13</v>
      </c>
      <c r="Y14" s="79">
        <v>251175.86</v>
      </c>
      <c r="Z14" s="79">
        <v>0</v>
      </c>
      <c r="AA14" s="79">
        <v>210266.02</v>
      </c>
      <c r="AB14" s="80">
        <v>13258047</v>
      </c>
      <c r="AC14" s="80">
        <v>0</v>
      </c>
      <c r="AD14" s="80">
        <v>0</v>
      </c>
      <c r="AE14" s="80">
        <v>6447470.11</v>
      </c>
      <c r="AF14" s="80">
        <v>0</v>
      </c>
      <c r="AG14" s="80">
        <v>0</v>
      </c>
      <c r="AH14" s="81">
        <f t="shared" si="2"/>
        <v>20220277.12</v>
      </c>
      <c r="AI14" s="82">
        <v>9520700</v>
      </c>
      <c r="AJ14" s="82">
        <v>0</v>
      </c>
      <c r="AK14" s="82">
        <v>20970100</v>
      </c>
      <c r="AL14" s="82">
        <v>1391400</v>
      </c>
      <c r="AM14" s="82">
        <v>3876300</v>
      </c>
      <c r="AN14" s="82">
        <v>1447700</v>
      </c>
      <c r="AO14" s="83">
        <f t="shared" si="3"/>
        <v>37206200</v>
      </c>
      <c r="AP14" s="84">
        <v>1300000</v>
      </c>
      <c r="AQ14" s="84">
        <v>632321.65</v>
      </c>
      <c r="AR14" s="84">
        <v>310000</v>
      </c>
      <c r="AS14" s="85">
        <f t="shared" si="4"/>
        <v>2242321.65</v>
      </c>
      <c r="AT14" s="82">
        <v>3500</v>
      </c>
      <c r="AU14" s="82">
        <v>43250</v>
      </c>
      <c r="AV14" s="82"/>
      <c r="AW14" s="82" t="s">
        <v>224</v>
      </c>
      <c r="AX14" s="82" t="s">
        <v>223</v>
      </c>
      <c r="AY14" s="82" t="s">
        <v>223</v>
      </c>
      <c r="AZ14" s="82"/>
      <c r="BA14" s="82"/>
      <c r="BB14" s="82"/>
      <c r="BC14" s="82"/>
      <c r="BD14" s="82"/>
      <c r="BE14" s="82" t="s">
        <v>266</v>
      </c>
      <c r="BF14" s="82" t="s">
        <v>225</v>
      </c>
      <c r="BG14" s="82" t="s">
        <v>225</v>
      </c>
      <c r="BH14" s="82" t="s">
        <v>225</v>
      </c>
      <c r="BI14" s="82" t="s">
        <v>225</v>
      </c>
      <c r="BJ14" s="82" t="s">
        <v>224</v>
      </c>
      <c r="BK14" s="82" t="s">
        <v>226</v>
      </c>
      <c r="BL14" s="86">
        <f t="shared" si="15"/>
        <v>0</v>
      </c>
      <c r="BM14" s="86"/>
      <c r="BN14" s="86"/>
      <c r="BO14" s="86"/>
      <c r="BP14" s="87"/>
      <c r="BQ14" s="77"/>
      <c r="BR14" s="77"/>
      <c r="BS14" s="88">
        <f t="shared" si="24"/>
        <v>0.004</v>
      </c>
      <c r="BT14" s="88">
        <f t="shared" si="16"/>
        <v>0.017</v>
      </c>
      <c r="BU14" s="88">
        <f t="shared" si="17"/>
        <v>0</v>
      </c>
      <c r="BV14" s="88">
        <f>ROUNDUP(AA14/I14*100,3)</f>
        <v>0.015</v>
      </c>
      <c r="BW14" s="88">
        <f t="shared" si="19"/>
        <v>0.918</v>
      </c>
      <c r="BX14" s="88">
        <f t="shared" si="5"/>
        <v>0</v>
      </c>
      <c r="BY14" s="88">
        <f t="shared" si="6"/>
        <v>0</v>
      </c>
      <c r="BZ14" s="88">
        <f>ROUNDUP(AE14/I14*100,3)</f>
        <v>0.447</v>
      </c>
      <c r="CA14" s="88">
        <f t="shared" si="21"/>
        <v>0</v>
      </c>
      <c r="CB14" s="88">
        <f t="shared" si="22"/>
        <v>0</v>
      </c>
      <c r="CC14" s="88">
        <f t="shared" si="7"/>
        <v>1.4009999999999998</v>
      </c>
      <c r="CD14" s="89">
        <f t="shared" si="8"/>
        <v>104.64</v>
      </c>
      <c r="CE14" s="88">
        <f t="shared" si="9"/>
        <v>1.4629525335464852</v>
      </c>
      <c r="CF14" s="90"/>
      <c r="CG14" s="86"/>
      <c r="CH14" s="86"/>
      <c r="CI14" s="86"/>
      <c r="CJ14" s="91"/>
      <c r="CK14" s="92" t="s">
        <v>236</v>
      </c>
      <c r="CL14" s="93" t="s">
        <v>229</v>
      </c>
      <c r="CM14" s="94">
        <v>2696484000</v>
      </c>
      <c r="CN14" s="94">
        <v>1121715</v>
      </c>
      <c r="CO14" s="95">
        <f t="shared" si="23"/>
        <v>0.042</v>
      </c>
      <c r="CP14" s="97"/>
    </row>
    <row r="15" spans="1:94" s="96" customFormat="1" ht="17.25" customHeight="1">
      <c r="A15" s="62" t="s">
        <v>134</v>
      </c>
      <c r="B15" s="63" t="s">
        <v>135</v>
      </c>
      <c r="C15" s="64">
        <v>1239029100</v>
      </c>
      <c r="D15" s="64">
        <v>1749145600</v>
      </c>
      <c r="E15" s="65">
        <f t="shared" si="0"/>
        <v>2988174700</v>
      </c>
      <c r="F15" s="66">
        <v>0</v>
      </c>
      <c r="G15" s="67">
        <f t="shared" si="10"/>
        <v>2988174700</v>
      </c>
      <c r="H15" s="68">
        <v>3065471</v>
      </c>
      <c r="I15" s="65">
        <f t="shared" si="11"/>
        <v>2991240171</v>
      </c>
      <c r="J15" s="69">
        <f t="shared" si="12"/>
        <v>1.466</v>
      </c>
      <c r="K15" s="70">
        <v>98.79</v>
      </c>
      <c r="L15" s="71"/>
      <c r="M15" s="72"/>
      <c r="N15" s="64">
        <v>0</v>
      </c>
      <c r="O15" s="73">
        <v>40280017</v>
      </c>
      <c r="P15" s="65">
        <f t="shared" si="13"/>
        <v>3031520188</v>
      </c>
      <c r="Q15" s="74">
        <f>ROUND(P15*Q$60,2)+0.09</f>
        <v>0.09</v>
      </c>
      <c r="R15" s="74"/>
      <c r="S15" s="74"/>
      <c r="T15" s="75">
        <v>0</v>
      </c>
      <c r="U15" s="75">
        <v>40513.31</v>
      </c>
      <c r="V15" s="76">
        <f t="shared" si="14"/>
        <v>40513.399999999994</v>
      </c>
      <c r="W15" s="77"/>
      <c r="X15" s="78">
        <f t="shared" si="1"/>
        <v>40513.399999999994</v>
      </c>
      <c r="Y15" s="79">
        <v>546110.17</v>
      </c>
      <c r="Z15" s="79">
        <v>0</v>
      </c>
      <c r="AA15" s="79">
        <v>456932.56</v>
      </c>
      <c r="AB15" s="80">
        <v>22108859</v>
      </c>
      <c r="AC15" s="80">
        <v>13121416</v>
      </c>
      <c r="AD15" s="80">
        <v>0</v>
      </c>
      <c r="AE15" s="80">
        <v>7208073.48</v>
      </c>
      <c r="AF15" s="80">
        <v>359793</v>
      </c>
      <c r="AG15" s="80">
        <v>0</v>
      </c>
      <c r="AH15" s="81">
        <f t="shared" si="2"/>
        <v>43841697.61</v>
      </c>
      <c r="AI15" s="82">
        <v>69329600</v>
      </c>
      <c r="AJ15" s="82">
        <v>0</v>
      </c>
      <c r="AK15" s="82">
        <v>98717600</v>
      </c>
      <c r="AL15" s="82">
        <v>10818100</v>
      </c>
      <c r="AM15" s="82">
        <v>1634900</v>
      </c>
      <c r="AN15" s="82">
        <v>153741300</v>
      </c>
      <c r="AO15" s="83">
        <f t="shared" si="3"/>
        <v>334241500</v>
      </c>
      <c r="AP15" s="84">
        <v>1126000</v>
      </c>
      <c r="AQ15" s="84">
        <v>2633578.19</v>
      </c>
      <c r="AR15" s="84">
        <v>423000</v>
      </c>
      <c r="AS15" s="85">
        <f t="shared" si="4"/>
        <v>4182578.19</v>
      </c>
      <c r="AT15" s="82">
        <v>3750</v>
      </c>
      <c r="AU15" s="82">
        <v>46750</v>
      </c>
      <c r="AV15" s="82"/>
      <c r="AW15" s="82" t="s">
        <v>224</v>
      </c>
      <c r="AX15" s="82" t="s">
        <v>223</v>
      </c>
      <c r="AY15" s="82" t="s">
        <v>223</v>
      </c>
      <c r="AZ15" s="82"/>
      <c r="BA15" s="82"/>
      <c r="BB15" s="82"/>
      <c r="BC15" s="82"/>
      <c r="BD15" s="82"/>
      <c r="BE15" s="82" t="s">
        <v>266</v>
      </c>
      <c r="BF15" s="82" t="s">
        <v>225</v>
      </c>
      <c r="BG15" s="82" t="s">
        <v>225</v>
      </c>
      <c r="BH15" s="82" t="s">
        <v>225</v>
      </c>
      <c r="BI15" s="82" t="s">
        <v>225</v>
      </c>
      <c r="BJ15" s="82" t="s">
        <v>224</v>
      </c>
      <c r="BK15" s="82" t="s">
        <v>226</v>
      </c>
      <c r="BL15" s="86">
        <f t="shared" si="15"/>
        <v>0</v>
      </c>
      <c r="BM15" s="86"/>
      <c r="BN15" s="86"/>
      <c r="BO15" s="86"/>
      <c r="BP15" s="87"/>
      <c r="BQ15" s="77"/>
      <c r="BR15" s="77"/>
      <c r="BS15" s="88">
        <f t="shared" si="24"/>
        <v>0.001</v>
      </c>
      <c r="BT15" s="88">
        <f t="shared" si="16"/>
        <v>0.018</v>
      </c>
      <c r="BU15" s="88">
        <f t="shared" si="17"/>
        <v>0</v>
      </c>
      <c r="BV15" s="88">
        <f>ROUNDUP(AA15/I15*100,3)</f>
        <v>0.016</v>
      </c>
      <c r="BW15" s="88">
        <f t="shared" si="19"/>
        <v>0.739</v>
      </c>
      <c r="BX15" s="88">
        <f t="shared" si="5"/>
        <v>0.439</v>
      </c>
      <c r="BY15" s="88">
        <f t="shared" si="6"/>
        <v>0</v>
      </c>
      <c r="BZ15" s="88">
        <f t="shared" si="20"/>
        <v>0.241</v>
      </c>
      <c r="CA15" s="88">
        <f t="shared" si="21"/>
        <v>0.012</v>
      </c>
      <c r="CB15" s="88">
        <f t="shared" si="22"/>
        <v>0</v>
      </c>
      <c r="CC15" s="88">
        <f t="shared" si="7"/>
        <v>1.466</v>
      </c>
      <c r="CD15" s="89">
        <f t="shared" si="8"/>
        <v>98.79</v>
      </c>
      <c r="CE15" s="88">
        <f t="shared" si="9"/>
        <v>1.4461951394400545</v>
      </c>
      <c r="CF15" s="90"/>
      <c r="CG15" s="86"/>
      <c r="CH15" s="86"/>
      <c r="CI15" s="86"/>
      <c r="CJ15" s="91"/>
      <c r="CK15" s="92" t="s">
        <v>237</v>
      </c>
      <c r="CL15" s="93" t="s">
        <v>228</v>
      </c>
      <c r="CM15" s="94">
        <v>2308732971</v>
      </c>
      <c r="CN15" s="94">
        <v>1822065</v>
      </c>
      <c r="CO15" s="95">
        <f t="shared" si="23"/>
        <v>0.079</v>
      </c>
      <c r="CP15" s="97"/>
    </row>
    <row r="16" spans="1:94" s="96" customFormat="1" ht="17.25" customHeight="1">
      <c r="A16" s="62" t="s">
        <v>136</v>
      </c>
      <c r="B16" s="63" t="s">
        <v>137</v>
      </c>
      <c r="C16" s="64">
        <v>1327035700</v>
      </c>
      <c r="D16" s="64">
        <v>667536100</v>
      </c>
      <c r="E16" s="65">
        <f t="shared" si="0"/>
        <v>1994571800</v>
      </c>
      <c r="F16" s="66">
        <v>0</v>
      </c>
      <c r="G16" s="67">
        <f t="shared" si="10"/>
        <v>1994571800</v>
      </c>
      <c r="H16" s="68">
        <v>776055</v>
      </c>
      <c r="I16" s="65">
        <f t="shared" si="11"/>
        <v>1995347855</v>
      </c>
      <c r="J16" s="69">
        <f t="shared" si="12"/>
        <v>0.425</v>
      </c>
      <c r="K16" s="70">
        <v>95.52</v>
      </c>
      <c r="L16" s="71"/>
      <c r="M16" s="72"/>
      <c r="N16" s="64">
        <v>0</v>
      </c>
      <c r="O16" s="73">
        <v>94703478</v>
      </c>
      <c r="P16" s="65">
        <f t="shared" si="13"/>
        <v>2090051333</v>
      </c>
      <c r="Q16" s="74">
        <f>ROUND(P16*Q$60,2)+0.06</f>
        <v>0.06</v>
      </c>
      <c r="R16" s="74"/>
      <c r="S16" s="74"/>
      <c r="T16" s="75">
        <v>15070.23</v>
      </c>
      <c r="U16" s="75">
        <v>0</v>
      </c>
      <c r="V16" s="76">
        <f t="shared" si="14"/>
        <v>-15070.17</v>
      </c>
      <c r="W16" s="77"/>
      <c r="X16" s="78">
        <f t="shared" si="1"/>
        <v>-15070.17</v>
      </c>
      <c r="Y16" s="79">
        <v>373743.04</v>
      </c>
      <c r="Z16" s="79">
        <v>0</v>
      </c>
      <c r="AA16" s="79">
        <v>312658.71</v>
      </c>
      <c r="AB16" s="80">
        <v>1967702</v>
      </c>
      <c r="AC16" s="80">
        <v>0</v>
      </c>
      <c r="AD16" s="80">
        <v>0</v>
      </c>
      <c r="AE16" s="80">
        <v>5838223.5</v>
      </c>
      <c r="AF16" s="80">
        <v>0</v>
      </c>
      <c r="AG16" s="80">
        <v>0</v>
      </c>
      <c r="AH16" s="81">
        <f t="shared" si="2"/>
        <v>8477257.08</v>
      </c>
      <c r="AI16" s="82">
        <v>10963300</v>
      </c>
      <c r="AJ16" s="82">
        <v>0</v>
      </c>
      <c r="AK16" s="82">
        <v>109613800</v>
      </c>
      <c r="AL16" s="82">
        <v>20589200</v>
      </c>
      <c r="AM16" s="82">
        <v>0</v>
      </c>
      <c r="AN16" s="82">
        <v>3739200</v>
      </c>
      <c r="AO16" s="83">
        <f t="shared" si="3"/>
        <v>144905500</v>
      </c>
      <c r="AP16" s="84">
        <v>820000</v>
      </c>
      <c r="AQ16" s="84">
        <v>3386615.36</v>
      </c>
      <c r="AR16" s="84">
        <v>250000</v>
      </c>
      <c r="AS16" s="85">
        <f t="shared" si="4"/>
        <v>4456615.359999999</v>
      </c>
      <c r="AT16" s="82">
        <v>1500</v>
      </c>
      <c r="AU16" s="82">
        <v>7500</v>
      </c>
      <c r="AV16" s="82"/>
      <c r="AW16" s="82" t="s">
        <v>224</v>
      </c>
      <c r="AX16" s="82" t="s">
        <v>223</v>
      </c>
      <c r="AY16" s="82" t="s">
        <v>223</v>
      </c>
      <c r="AZ16" s="82"/>
      <c r="BA16" s="82"/>
      <c r="BB16" s="82"/>
      <c r="BC16" s="82"/>
      <c r="BD16" s="82"/>
      <c r="BE16" s="82" t="s">
        <v>266</v>
      </c>
      <c r="BF16" s="82" t="s">
        <v>225</v>
      </c>
      <c r="BG16" s="82" t="s">
        <v>225</v>
      </c>
      <c r="BH16" s="82" t="s">
        <v>225</v>
      </c>
      <c r="BI16" s="82" t="s">
        <v>225</v>
      </c>
      <c r="BJ16" s="82" t="s">
        <v>224</v>
      </c>
      <c r="BK16" s="82" t="s">
        <v>226</v>
      </c>
      <c r="BL16" s="86">
        <f t="shared" si="15"/>
        <v>0</v>
      </c>
      <c r="BM16" s="86"/>
      <c r="BN16" s="86"/>
      <c r="BO16" s="86"/>
      <c r="BP16" s="87"/>
      <c r="BQ16" s="77"/>
      <c r="BR16" s="77"/>
      <c r="BS16" s="88">
        <f t="shared" si="24"/>
        <v>-0.001</v>
      </c>
      <c r="BT16" s="88">
        <f t="shared" si="16"/>
        <v>0.019</v>
      </c>
      <c r="BU16" s="88">
        <f t="shared" si="17"/>
        <v>0</v>
      </c>
      <c r="BV16" s="88">
        <f t="shared" si="18"/>
        <v>0.016</v>
      </c>
      <c r="BW16" s="88">
        <f t="shared" si="19"/>
        <v>0.099</v>
      </c>
      <c r="BX16" s="88">
        <f t="shared" si="5"/>
        <v>0</v>
      </c>
      <c r="BY16" s="88">
        <f t="shared" si="6"/>
        <v>0</v>
      </c>
      <c r="BZ16" s="88">
        <f>ROUND(AE16/I16*100,3)-0.001</f>
        <v>0.292</v>
      </c>
      <c r="CA16" s="88">
        <f t="shared" si="21"/>
        <v>0</v>
      </c>
      <c r="CB16" s="88">
        <f t="shared" si="22"/>
        <v>0</v>
      </c>
      <c r="CC16" s="88">
        <f t="shared" si="7"/>
        <v>0.425</v>
      </c>
      <c r="CD16" s="89">
        <f t="shared" si="8"/>
        <v>95.52</v>
      </c>
      <c r="CE16" s="88">
        <f t="shared" si="9"/>
        <v>0.4056004245518692</v>
      </c>
      <c r="CF16" s="90"/>
      <c r="CG16" s="86"/>
      <c r="CH16" s="86"/>
      <c r="CI16" s="86"/>
      <c r="CJ16" s="91"/>
      <c r="CK16" s="92" t="s">
        <v>238</v>
      </c>
      <c r="CL16" s="93" t="s">
        <v>239</v>
      </c>
      <c r="CM16" s="94">
        <v>57540700</v>
      </c>
      <c r="CN16" s="94">
        <v>60000</v>
      </c>
      <c r="CO16" s="95">
        <f t="shared" si="23"/>
        <v>0.105</v>
      </c>
      <c r="CP16" s="97"/>
    </row>
    <row r="17" spans="1:93" s="96" customFormat="1" ht="17.25" customHeight="1">
      <c r="A17" s="62" t="s">
        <v>138</v>
      </c>
      <c r="B17" s="63" t="s">
        <v>139</v>
      </c>
      <c r="C17" s="64">
        <v>1068032100</v>
      </c>
      <c r="D17" s="64">
        <v>1096747100</v>
      </c>
      <c r="E17" s="65">
        <f t="shared" si="0"/>
        <v>2164779200</v>
      </c>
      <c r="F17" s="66">
        <v>563300</v>
      </c>
      <c r="G17" s="67">
        <f t="shared" si="10"/>
        <v>2164215900</v>
      </c>
      <c r="H17" s="68">
        <v>6832461</v>
      </c>
      <c r="I17" s="65">
        <f t="shared" si="11"/>
        <v>2171048361</v>
      </c>
      <c r="J17" s="69">
        <f t="shared" si="12"/>
        <v>1.9429999999999998</v>
      </c>
      <c r="K17" s="70">
        <v>109.45</v>
      </c>
      <c r="L17" s="71"/>
      <c r="M17" s="72"/>
      <c r="N17" s="64">
        <v>175745113</v>
      </c>
      <c r="O17" s="73">
        <v>0</v>
      </c>
      <c r="P17" s="65">
        <f t="shared" si="13"/>
        <v>1995303248</v>
      </c>
      <c r="Q17" s="74">
        <f>ROUND(P17*Q$60,2)+0.06</f>
        <v>0.06</v>
      </c>
      <c r="R17" s="74"/>
      <c r="S17" s="74"/>
      <c r="T17" s="75">
        <v>86849.14</v>
      </c>
      <c r="U17" s="75">
        <v>0</v>
      </c>
      <c r="V17" s="76">
        <f t="shared" si="14"/>
        <v>-86849.08</v>
      </c>
      <c r="W17" s="77"/>
      <c r="X17" s="78">
        <f t="shared" si="1"/>
        <v>-86849.08</v>
      </c>
      <c r="Y17" s="79">
        <v>352096.03</v>
      </c>
      <c r="Z17" s="79">
        <v>103227.49</v>
      </c>
      <c r="AA17" s="79">
        <v>294482.42</v>
      </c>
      <c r="AB17" s="80">
        <v>15897138</v>
      </c>
      <c r="AC17" s="80">
        <v>8487748</v>
      </c>
      <c r="AD17" s="80">
        <v>0</v>
      </c>
      <c r="AE17" s="80">
        <v>17129572</v>
      </c>
      <c r="AF17" s="80">
        <v>0</v>
      </c>
      <c r="AG17" s="80">
        <v>0</v>
      </c>
      <c r="AH17" s="81">
        <f t="shared" si="2"/>
        <v>42177414.86</v>
      </c>
      <c r="AI17" s="82">
        <v>19204800</v>
      </c>
      <c r="AJ17" s="82">
        <v>6464700</v>
      </c>
      <c r="AK17" s="82">
        <v>55276500</v>
      </c>
      <c r="AL17" s="82">
        <v>19714100</v>
      </c>
      <c r="AM17" s="82">
        <v>2356900</v>
      </c>
      <c r="AN17" s="82">
        <v>293731700</v>
      </c>
      <c r="AO17" s="83">
        <f t="shared" si="3"/>
        <v>396748700</v>
      </c>
      <c r="AP17" s="84">
        <v>2650000</v>
      </c>
      <c r="AQ17" s="84">
        <v>4203965</v>
      </c>
      <c r="AR17" s="84">
        <v>563515</v>
      </c>
      <c r="AS17" s="85">
        <f t="shared" si="4"/>
        <v>7417480</v>
      </c>
      <c r="AT17" s="82">
        <v>8500</v>
      </c>
      <c r="AU17" s="82">
        <v>71750</v>
      </c>
      <c r="AV17" s="82"/>
      <c r="AW17" s="82">
        <v>236000</v>
      </c>
      <c r="AX17" s="82" t="s">
        <v>223</v>
      </c>
      <c r="AY17" s="82" t="s">
        <v>223</v>
      </c>
      <c r="AZ17" s="82"/>
      <c r="BA17" s="82"/>
      <c r="BB17" s="82"/>
      <c r="BC17" s="82"/>
      <c r="BD17" s="82"/>
      <c r="BE17" s="82" t="s">
        <v>266</v>
      </c>
      <c r="BF17" s="82">
        <v>327300</v>
      </c>
      <c r="BG17" s="82" t="s">
        <v>225</v>
      </c>
      <c r="BH17" s="82" t="s">
        <v>225</v>
      </c>
      <c r="BI17" s="82" t="s">
        <v>225</v>
      </c>
      <c r="BJ17" s="82" t="s">
        <v>224</v>
      </c>
      <c r="BK17" s="82" t="s">
        <v>226</v>
      </c>
      <c r="BL17" s="86">
        <f t="shared" si="15"/>
        <v>563300</v>
      </c>
      <c r="BM17" s="86"/>
      <c r="BN17" s="86"/>
      <c r="BO17" s="86"/>
      <c r="BP17" s="87"/>
      <c r="BQ17" s="77"/>
      <c r="BR17" s="77"/>
      <c r="BS17" s="88">
        <f t="shared" si="24"/>
        <v>-0.004</v>
      </c>
      <c r="BT17" s="88">
        <f t="shared" si="16"/>
        <v>0.016</v>
      </c>
      <c r="BU17" s="88">
        <f t="shared" si="17"/>
        <v>0.005</v>
      </c>
      <c r="BV17" s="88">
        <f t="shared" si="18"/>
        <v>0.014</v>
      </c>
      <c r="BW17" s="88">
        <f t="shared" si="19"/>
        <v>0.732</v>
      </c>
      <c r="BX17" s="88">
        <f t="shared" si="5"/>
        <v>0.391</v>
      </c>
      <c r="BY17" s="88">
        <f t="shared" si="6"/>
        <v>0</v>
      </c>
      <c r="BZ17" s="88">
        <f t="shared" si="20"/>
        <v>0.789</v>
      </c>
      <c r="CA17" s="88">
        <f t="shared" si="21"/>
        <v>0</v>
      </c>
      <c r="CB17" s="88">
        <f t="shared" si="22"/>
        <v>0</v>
      </c>
      <c r="CC17" s="88">
        <f t="shared" si="7"/>
        <v>1.9429999999999998</v>
      </c>
      <c r="CD17" s="89">
        <f t="shared" si="8"/>
        <v>109.45</v>
      </c>
      <c r="CE17" s="88">
        <f t="shared" si="9"/>
        <v>2.1138348219638643</v>
      </c>
      <c r="CF17" s="90"/>
      <c r="CG17" s="86"/>
      <c r="CH17" s="86"/>
      <c r="CI17" s="86"/>
      <c r="CJ17" s="91"/>
      <c r="CK17" s="92" t="s">
        <v>240</v>
      </c>
      <c r="CL17" s="93" t="s">
        <v>241</v>
      </c>
      <c r="CM17" s="94">
        <v>360909800</v>
      </c>
      <c r="CN17" s="94">
        <v>994256</v>
      </c>
      <c r="CO17" s="95">
        <f>ROUNDUP(CN17/CM17*100,3)-0.001</f>
        <v>0.275</v>
      </c>
    </row>
    <row r="18" spans="1:93" s="96" customFormat="1" ht="17.25" customHeight="1">
      <c r="A18" s="62" t="s">
        <v>140</v>
      </c>
      <c r="B18" s="63" t="s">
        <v>141</v>
      </c>
      <c r="C18" s="64">
        <v>98022500</v>
      </c>
      <c r="D18" s="64">
        <v>142515400</v>
      </c>
      <c r="E18" s="65">
        <f t="shared" si="0"/>
        <v>240537900</v>
      </c>
      <c r="F18" s="66">
        <v>0</v>
      </c>
      <c r="G18" s="67">
        <f t="shared" si="10"/>
        <v>240537900</v>
      </c>
      <c r="H18" s="68">
        <v>0</v>
      </c>
      <c r="I18" s="65">
        <f t="shared" si="11"/>
        <v>240537900</v>
      </c>
      <c r="J18" s="69">
        <f t="shared" si="12"/>
        <v>1.944</v>
      </c>
      <c r="K18" s="70">
        <v>103.35</v>
      </c>
      <c r="L18" s="71"/>
      <c r="M18" s="72"/>
      <c r="N18" s="64">
        <v>6888831</v>
      </c>
      <c r="O18" s="73">
        <v>0</v>
      </c>
      <c r="P18" s="65">
        <f t="shared" si="13"/>
        <v>233649069</v>
      </c>
      <c r="Q18" s="74">
        <f>ROUND(P18*Q$60,2)+0.01</f>
        <v>0.01</v>
      </c>
      <c r="R18" s="74"/>
      <c r="S18" s="74"/>
      <c r="T18" s="75">
        <v>15684.39</v>
      </c>
      <c r="U18" s="75">
        <v>0</v>
      </c>
      <c r="V18" s="76">
        <f t="shared" si="14"/>
        <v>-15684.38</v>
      </c>
      <c r="W18" s="77"/>
      <c r="X18" s="78">
        <f t="shared" si="1"/>
        <v>-15684.38</v>
      </c>
      <c r="Y18" s="79">
        <v>40876.01</v>
      </c>
      <c r="Z18" s="79">
        <v>11969.39</v>
      </c>
      <c r="AA18" s="79">
        <v>34167.25</v>
      </c>
      <c r="AB18" s="80">
        <v>2195020</v>
      </c>
      <c r="AC18" s="80">
        <v>914651</v>
      </c>
      <c r="AD18" s="80">
        <v>0</v>
      </c>
      <c r="AE18" s="80">
        <v>1493126.07</v>
      </c>
      <c r="AF18" s="80">
        <v>0</v>
      </c>
      <c r="AG18" s="80">
        <v>0</v>
      </c>
      <c r="AH18" s="81">
        <f t="shared" si="2"/>
        <v>4674125.34</v>
      </c>
      <c r="AI18" s="82">
        <v>6055000</v>
      </c>
      <c r="AJ18" s="82">
        <v>0</v>
      </c>
      <c r="AK18" s="82">
        <v>7780600</v>
      </c>
      <c r="AL18" s="82">
        <v>6014200</v>
      </c>
      <c r="AM18" s="82">
        <v>106600</v>
      </c>
      <c r="AN18" s="82">
        <v>1385700</v>
      </c>
      <c r="AO18" s="83">
        <f t="shared" si="3"/>
        <v>21342100</v>
      </c>
      <c r="AP18" s="84">
        <v>258000</v>
      </c>
      <c r="AQ18" s="84">
        <v>605907.55</v>
      </c>
      <c r="AR18" s="84">
        <v>0</v>
      </c>
      <c r="AS18" s="85">
        <f t="shared" si="4"/>
        <v>863907.55</v>
      </c>
      <c r="AT18" s="82">
        <v>1500</v>
      </c>
      <c r="AU18" s="82">
        <v>5750</v>
      </c>
      <c r="AV18" s="82"/>
      <c r="AW18" s="82"/>
      <c r="AX18" s="82" t="s">
        <v>223</v>
      </c>
      <c r="AY18" s="82" t="s">
        <v>223</v>
      </c>
      <c r="AZ18" s="82"/>
      <c r="BA18" s="82"/>
      <c r="BB18" s="82"/>
      <c r="BC18" s="82"/>
      <c r="BD18" s="82"/>
      <c r="BE18" s="82"/>
      <c r="BF18" s="82" t="s">
        <v>225</v>
      </c>
      <c r="BG18" s="82" t="s">
        <v>225</v>
      </c>
      <c r="BH18" s="82" t="s">
        <v>225</v>
      </c>
      <c r="BI18" s="82" t="s">
        <v>225</v>
      </c>
      <c r="BJ18" s="82" t="s">
        <v>224</v>
      </c>
      <c r="BK18" s="82"/>
      <c r="BL18" s="86">
        <f t="shared" si="15"/>
        <v>0</v>
      </c>
      <c r="BM18" s="86"/>
      <c r="BN18" s="86"/>
      <c r="BO18" s="86"/>
      <c r="BP18" s="87"/>
      <c r="BQ18" s="77"/>
      <c r="BR18" s="77"/>
      <c r="BS18" s="88">
        <f t="shared" si="24"/>
        <v>-0.007</v>
      </c>
      <c r="BT18" s="88">
        <f t="shared" si="16"/>
        <v>0.017</v>
      </c>
      <c r="BU18" s="88">
        <f t="shared" si="17"/>
        <v>0.005</v>
      </c>
      <c r="BV18" s="88">
        <f t="shared" si="18"/>
        <v>0.014</v>
      </c>
      <c r="BW18" s="88">
        <f t="shared" si="19"/>
        <v>0.913</v>
      </c>
      <c r="BX18" s="88">
        <f t="shared" si="5"/>
        <v>0.38</v>
      </c>
      <c r="BY18" s="88">
        <f t="shared" si="6"/>
        <v>0</v>
      </c>
      <c r="BZ18" s="88">
        <f t="shared" si="20"/>
        <v>0.621</v>
      </c>
      <c r="CA18" s="88">
        <f t="shared" si="21"/>
        <v>0</v>
      </c>
      <c r="CB18" s="88">
        <f t="shared" si="22"/>
        <v>0</v>
      </c>
      <c r="CC18" s="88">
        <f t="shared" si="7"/>
        <v>1.944</v>
      </c>
      <c r="CD18" s="89">
        <f t="shared" si="8"/>
        <v>103.35</v>
      </c>
      <c r="CE18" s="88">
        <f t="shared" si="9"/>
        <v>2.00048960605959</v>
      </c>
      <c r="CF18" s="90"/>
      <c r="CG18" s="86"/>
      <c r="CH18" s="86"/>
      <c r="CI18" s="86"/>
      <c r="CJ18" s="91"/>
      <c r="CK18" s="92" t="s">
        <v>240</v>
      </c>
      <c r="CL18" s="93" t="s">
        <v>242</v>
      </c>
      <c r="CM18" s="94">
        <v>2175343800</v>
      </c>
      <c r="CN18" s="94">
        <v>1100000</v>
      </c>
      <c r="CO18" s="95">
        <f t="shared" si="23"/>
        <v>0.051000000000000004</v>
      </c>
    </row>
    <row r="19" spans="1:93" s="96" customFormat="1" ht="17.25" customHeight="1">
      <c r="A19" s="62" t="s">
        <v>142</v>
      </c>
      <c r="B19" s="63" t="s">
        <v>143</v>
      </c>
      <c r="C19" s="64">
        <v>913193900</v>
      </c>
      <c r="D19" s="64">
        <v>659479900</v>
      </c>
      <c r="E19" s="65">
        <f aca="true" t="shared" si="25" ref="E19:E30">C19+D19</f>
        <v>1572673800</v>
      </c>
      <c r="F19" s="66">
        <v>0</v>
      </c>
      <c r="G19" s="67">
        <f t="shared" si="10"/>
        <v>1572673800</v>
      </c>
      <c r="H19" s="68">
        <v>443518</v>
      </c>
      <c r="I19" s="65">
        <f t="shared" si="11"/>
        <v>1573117318</v>
      </c>
      <c r="J19" s="69">
        <f t="shared" si="12"/>
        <v>1.688</v>
      </c>
      <c r="K19" s="70">
        <v>97.8</v>
      </c>
      <c r="L19" s="71"/>
      <c r="M19" s="72"/>
      <c r="N19" s="64">
        <v>0</v>
      </c>
      <c r="O19" s="73">
        <v>36655811</v>
      </c>
      <c r="P19" s="65">
        <f t="shared" si="13"/>
        <v>1609773129</v>
      </c>
      <c r="Q19" s="74">
        <f>ROUND(P19*Q$60,2)+0.05</f>
        <v>0.05</v>
      </c>
      <c r="R19" s="74"/>
      <c r="S19" s="74"/>
      <c r="T19" s="75">
        <v>0</v>
      </c>
      <c r="U19" s="75">
        <v>518.36</v>
      </c>
      <c r="V19" s="76">
        <f t="shared" si="14"/>
        <v>518.41</v>
      </c>
      <c r="W19" s="77"/>
      <c r="X19" s="78">
        <f aca="true" t="shared" si="26" ref="X19:X30">V19-W19</f>
        <v>518.41</v>
      </c>
      <c r="Y19" s="79">
        <v>288611.62</v>
      </c>
      <c r="Z19" s="79">
        <v>0</v>
      </c>
      <c r="AA19" s="79">
        <v>241487.15</v>
      </c>
      <c r="AB19" s="80">
        <v>14293620</v>
      </c>
      <c r="AC19" s="80">
        <v>5348448</v>
      </c>
      <c r="AD19" s="80">
        <v>0</v>
      </c>
      <c r="AE19" s="80">
        <v>6365899.62</v>
      </c>
      <c r="AF19" s="80">
        <v>0</v>
      </c>
      <c r="AG19" s="80">
        <v>0</v>
      </c>
      <c r="AH19" s="81">
        <f t="shared" si="2"/>
        <v>26538584.8</v>
      </c>
      <c r="AI19" s="82">
        <v>12472900</v>
      </c>
      <c r="AJ19" s="82">
        <v>1753800</v>
      </c>
      <c r="AK19" s="82">
        <v>39166400</v>
      </c>
      <c r="AL19" s="82">
        <v>12270000</v>
      </c>
      <c r="AM19" s="82">
        <v>0</v>
      </c>
      <c r="AN19" s="82">
        <v>4258300</v>
      </c>
      <c r="AO19" s="83">
        <f aca="true" t="shared" si="27" ref="AO19:AO30">SUM(AI19:AN19)</f>
        <v>69921400</v>
      </c>
      <c r="AP19" s="84">
        <v>800000</v>
      </c>
      <c r="AQ19" s="84">
        <v>1845913.63</v>
      </c>
      <c r="AR19" s="84">
        <v>360000</v>
      </c>
      <c r="AS19" s="85">
        <f aca="true" t="shared" si="28" ref="AS19:AS30">SUM(AP19:AR19)</f>
        <v>3005913.63</v>
      </c>
      <c r="AT19" s="82">
        <v>2750</v>
      </c>
      <c r="AU19" s="82">
        <v>29750</v>
      </c>
      <c r="AV19" s="82"/>
      <c r="AW19" s="82" t="s">
        <v>224</v>
      </c>
      <c r="AX19" s="82" t="s">
        <v>223</v>
      </c>
      <c r="AY19" s="82" t="s">
        <v>223</v>
      </c>
      <c r="AZ19" s="82"/>
      <c r="BA19" s="82"/>
      <c r="BB19" s="82"/>
      <c r="BC19" s="82"/>
      <c r="BD19" s="82"/>
      <c r="BE19" s="82" t="s">
        <v>266</v>
      </c>
      <c r="BF19" s="82" t="s">
        <v>225</v>
      </c>
      <c r="BG19" s="82" t="s">
        <v>225</v>
      </c>
      <c r="BH19" s="82" t="s">
        <v>225</v>
      </c>
      <c r="BI19" s="82" t="s">
        <v>225</v>
      </c>
      <c r="BJ19" s="82" t="s">
        <v>224</v>
      </c>
      <c r="BK19" s="82" t="s">
        <v>226</v>
      </c>
      <c r="BL19" s="86">
        <f t="shared" si="15"/>
        <v>0</v>
      </c>
      <c r="BM19" s="86"/>
      <c r="BN19" s="86"/>
      <c r="BO19" s="86"/>
      <c r="BP19" s="87"/>
      <c r="BQ19" s="77"/>
      <c r="BR19" s="77"/>
      <c r="BS19" s="88">
        <f t="shared" si="24"/>
        <v>0</v>
      </c>
      <c r="BT19" s="88">
        <f t="shared" si="16"/>
        <v>0.018</v>
      </c>
      <c r="BU19" s="88">
        <f t="shared" si="17"/>
        <v>0</v>
      </c>
      <c r="BV19" s="88">
        <f>ROUNDUP(AA19/I19*100,3)</f>
        <v>0.016</v>
      </c>
      <c r="BW19" s="88">
        <f t="shared" si="19"/>
        <v>0.909</v>
      </c>
      <c r="BX19" s="88">
        <f t="shared" si="5"/>
        <v>0.34</v>
      </c>
      <c r="BY19" s="88">
        <f t="shared" si="6"/>
        <v>0</v>
      </c>
      <c r="BZ19" s="88">
        <f t="shared" si="20"/>
        <v>0.405</v>
      </c>
      <c r="CA19" s="88">
        <f t="shared" si="21"/>
        <v>0</v>
      </c>
      <c r="CB19" s="88">
        <f t="shared" si="22"/>
        <v>0</v>
      </c>
      <c r="CC19" s="88">
        <f t="shared" si="7"/>
        <v>1.688</v>
      </c>
      <c r="CD19" s="89">
        <f t="shared" si="8"/>
        <v>97.8</v>
      </c>
      <c r="CE19" s="88">
        <f t="shared" si="9"/>
        <v>1.6485916134334977</v>
      </c>
      <c r="CF19" s="90"/>
      <c r="CG19" s="86"/>
      <c r="CH19" s="86"/>
      <c r="CI19" s="86"/>
      <c r="CJ19" s="91"/>
      <c r="CK19" s="92" t="s">
        <v>240</v>
      </c>
      <c r="CL19" s="93" t="s">
        <v>243</v>
      </c>
      <c r="CM19" s="94">
        <v>2025384900</v>
      </c>
      <c r="CN19" s="94">
        <v>1665000</v>
      </c>
      <c r="CO19" s="95">
        <f>ROUNDUP(CN19/CM19*100,3)-0.001</f>
        <v>0.082</v>
      </c>
    </row>
    <row r="20" spans="1:93" s="96" customFormat="1" ht="17.25" customHeight="1">
      <c r="A20" s="62" t="s">
        <v>144</v>
      </c>
      <c r="B20" s="63" t="s">
        <v>145</v>
      </c>
      <c r="C20" s="64">
        <v>52693200</v>
      </c>
      <c r="D20" s="64">
        <v>101380800</v>
      </c>
      <c r="E20" s="65">
        <f t="shared" si="25"/>
        <v>154074000</v>
      </c>
      <c r="F20" s="66">
        <v>0</v>
      </c>
      <c r="G20" s="67">
        <f t="shared" si="10"/>
        <v>154074000</v>
      </c>
      <c r="H20" s="68">
        <v>0</v>
      </c>
      <c r="I20" s="65">
        <f t="shared" si="11"/>
        <v>154074000</v>
      </c>
      <c r="J20" s="69">
        <f t="shared" si="12"/>
        <v>1.7979999999999998</v>
      </c>
      <c r="K20" s="70">
        <v>105.53</v>
      </c>
      <c r="L20" s="71"/>
      <c r="M20" s="72"/>
      <c r="N20" s="64">
        <v>7021258</v>
      </c>
      <c r="O20" s="73">
        <v>0</v>
      </c>
      <c r="P20" s="65">
        <f t="shared" si="13"/>
        <v>147052742</v>
      </c>
      <c r="Q20" s="74">
        <f>ROUND(P20*Q$60,2)+0.01</f>
        <v>0.01</v>
      </c>
      <c r="R20" s="74"/>
      <c r="S20" s="74"/>
      <c r="T20" s="75">
        <v>0</v>
      </c>
      <c r="U20" s="75">
        <v>1944.63</v>
      </c>
      <c r="V20" s="76">
        <f t="shared" si="14"/>
        <v>1944.64</v>
      </c>
      <c r="W20" s="77"/>
      <c r="X20" s="78">
        <f t="shared" si="26"/>
        <v>1944.64</v>
      </c>
      <c r="Y20" s="79">
        <v>26484.43</v>
      </c>
      <c r="Z20" s="79">
        <v>7776.67</v>
      </c>
      <c r="AA20" s="79">
        <v>22164.73</v>
      </c>
      <c r="AB20" s="80">
        <v>1837045</v>
      </c>
      <c r="AC20" s="80">
        <v>502249</v>
      </c>
      <c r="AD20" s="80">
        <v>0</v>
      </c>
      <c r="AE20" s="80">
        <v>371378.14</v>
      </c>
      <c r="AF20" s="80">
        <v>0</v>
      </c>
      <c r="AG20" s="80">
        <v>0</v>
      </c>
      <c r="AH20" s="81">
        <f t="shared" si="2"/>
        <v>2769042.61</v>
      </c>
      <c r="AI20" s="82">
        <v>3610000</v>
      </c>
      <c r="AJ20" s="82">
        <v>0</v>
      </c>
      <c r="AK20" s="82">
        <v>3306700</v>
      </c>
      <c r="AL20" s="82">
        <v>3691300</v>
      </c>
      <c r="AM20" s="82">
        <v>0</v>
      </c>
      <c r="AN20" s="82">
        <v>283400</v>
      </c>
      <c r="AO20" s="83">
        <f t="shared" si="27"/>
        <v>10891400</v>
      </c>
      <c r="AP20" s="84">
        <v>206000</v>
      </c>
      <c r="AQ20" s="84">
        <v>212458</v>
      </c>
      <c r="AR20" s="84">
        <v>50000</v>
      </c>
      <c r="AS20" s="85">
        <f t="shared" si="28"/>
        <v>468458</v>
      </c>
      <c r="AT20" s="82">
        <v>750</v>
      </c>
      <c r="AU20" s="82">
        <v>8250</v>
      </c>
      <c r="AV20" s="82"/>
      <c r="AW20" s="82" t="s">
        <v>224</v>
      </c>
      <c r="AX20" s="82" t="s">
        <v>223</v>
      </c>
      <c r="AY20" s="82" t="s">
        <v>223</v>
      </c>
      <c r="AZ20" s="82"/>
      <c r="BA20" s="82"/>
      <c r="BB20" s="82"/>
      <c r="BC20" s="82"/>
      <c r="BD20" s="82"/>
      <c r="BE20" s="82" t="s">
        <v>266</v>
      </c>
      <c r="BF20" s="82" t="s">
        <v>225</v>
      </c>
      <c r="BG20" s="82" t="s">
        <v>225</v>
      </c>
      <c r="BH20" s="82" t="s">
        <v>225</v>
      </c>
      <c r="BI20" s="82" t="s">
        <v>225</v>
      </c>
      <c r="BJ20" s="82" t="s">
        <v>224</v>
      </c>
      <c r="BK20" s="82" t="s">
        <v>226</v>
      </c>
      <c r="BL20" s="86">
        <f t="shared" si="15"/>
        <v>0</v>
      </c>
      <c r="BM20" s="86"/>
      <c r="BN20" s="86"/>
      <c r="BO20" s="86"/>
      <c r="BP20" s="87"/>
      <c r="BQ20" s="77"/>
      <c r="BR20" s="77"/>
      <c r="BS20" s="88">
        <f>ROUNDUP(X20/I20*100,3)</f>
        <v>0.002</v>
      </c>
      <c r="BT20" s="88">
        <f t="shared" si="16"/>
        <v>0.017</v>
      </c>
      <c r="BU20" s="88">
        <f t="shared" si="17"/>
        <v>0.005</v>
      </c>
      <c r="BV20" s="88">
        <f>ROUNDUP(AA20/I20*100,3)</f>
        <v>0.015</v>
      </c>
      <c r="BW20" s="88">
        <f t="shared" si="19"/>
        <v>1.192</v>
      </c>
      <c r="BX20" s="88">
        <f t="shared" si="5"/>
        <v>0.326</v>
      </c>
      <c r="BY20" s="88">
        <f t="shared" si="6"/>
        <v>0</v>
      </c>
      <c r="BZ20" s="88">
        <f t="shared" si="20"/>
        <v>0.241</v>
      </c>
      <c r="CA20" s="88">
        <f t="shared" si="21"/>
        <v>0</v>
      </c>
      <c r="CB20" s="88">
        <f t="shared" si="22"/>
        <v>0</v>
      </c>
      <c r="CC20" s="88">
        <f t="shared" si="7"/>
        <v>1.7979999999999998</v>
      </c>
      <c r="CD20" s="89">
        <f t="shared" si="8"/>
        <v>105.53</v>
      </c>
      <c r="CE20" s="88">
        <f t="shared" si="9"/>
        <v>1.8830268462454103</v>
      </c>
      <c r="CF20" s="90"/>
      <c r="CG20" s="86"/>
      <c r="CH20" s="86"/>
      <c r="CI20" s="86"/>
      <c r="CJ20" s="91"/>
      <c r="CK20" s="92" t="s">
        <v>240</v>
      </c>
      <c r="CL20" s="93" t="s">
        <v>244</v>
      </c>
      <c r="CM20" s="94">
        <v>1022497300</v>
      </c>
      <c r="CN20" s="94">
        <v>796153</v>
      </c>
      <c r="CO20" s="95">
        <f t="shared" si="23"/>
        <v>0.078</v>
      </c>
    </row>
    <row r="21" spans="1:93" s="96" customFormat="1" ht="17.25" customHeight="1">
      <c r="A21" s="62" t="s">
        <v>146</v>
      </c>
      <c r="B21" s="63" t="s">
        <v>147</v>
      </c>
      <c r="C21" s="64">
        <v>504888400</v>
      </c>
      <c r="D21" s="64">
        <v>524066000</v>
      </c>
      <c r="E21" s="65">
        <f t="shared" si="25"/>
        <v>1028954400</v>
      </c>
      <c r="F21" s="66">
        <v>1128800</v>
      </c>
      <c r="G21" s="67">
        <f t="shared" si="10"/>
        <v>1027825600</v>
      </c>
      <c r="H21" s="68">
        <v>0</v>
      </c>
      <c r="I21" s="65">
        <f t="shared" si="11"/>
        <v>1027825600</v>
      </c>
      <c r="J21" s="69">
        <f t="shared" si="12"/>
        <v>2.404</v>
      </c>
      <c r="K21" s="70">
        <v>104.56</v>
      </c>
      <c r="L21" s="71"/>
      <c r="M21" s="72"/>
      <c r="N21" s="64">
        <v>38107538</v>
      </c>
      <c r="O21" s="73">
        <v>0</v>
      </c>
      <c r="P21" s="65">
        <f t="shared" si="13"/>
        <v>989718062</v>
      </c>
      <c r="Q21" s="74">
        <f>ROUND(P21*Q$60,2)+0.03</f>
        <v>0.03</v>
      </c>
      <c r="R21" s="74"/>
      <c r="S21" s="74"/>
      <c r="T21" s="75">
        <v>49746.03</v>
      </c>
      <c r="U21" s="75">
        <v>0</v>
      </c>
      <c r="V21" s="76">
        <f t="shared" si="14"/>
        <v>-49746</v>
      </c>
      <c r="W21" s="77"/>
      <c r="X21" s="78">
        <f t="shared" si="26"/>
        <v>-49746</v>
      </c>
      <c r="Y21" s="79">
        <v>0</v>
      </c>
      <c r="Z21" s="79">
        <v>0</v>
      </c>
      <c r="AA21" s="79">
        <v>145646.2</v>
      </c>
      <c r="AB21" s="80">
        <v>11287880</v>
      </c>
      <c r="AC21" s="80">
        <v>3285122</v>
      </c>
      <c r="AD21" s="80">
        <v>0</v>
      </c>
      <c r="AE21" s="80">
        <v>9705784.46</v>
      </c>
      <c r="AF21" s="80">
        <v>0</v>
      </c>
      <c r="AG21" s="80">
        <v>328768</v>
      </c>
      <c r="AH21" s="81">
        <f t="shared" si="2"/>
        <v>24703454.66</v>
      </c>
      <c r="AI21" s="82">
        <v>42875300</v>
      </c>
      <c r="AJ21" s="82">
        <v>6001200</v>
      </c>
      <c r="AK21" s="82">
        <v>90425400</v>
      </c>
      <c r="AL21" s="82">
        <v>32194300</v>
      </c>
      <c r="AM21" s="82">
        <v>974700</v>
      </c>
      <c r="AN21" s="82">
        <v>33196700</v>
      </c>
      <c r="AO21" s="83">
        <f t="shared" si="27"/>
        <v>205667600</v>
      </c>
      <c r="AP21" s="84">
        <v>1425244</v>
      </c>
      <c r="AQ21" s="84">
        <v>3701766.13</v>
      </c>
      <c r="AR21" s="84">
        <v>520000</v>
      </c>
      <c r="AS21" s="85">
        <f t="shared" si="28"/>
        <v>5647010.13</v>
      </c>
      <c r="AT21" s="82">
        <v>11750</v>
      </c>
      <c r="AU21" s="82">
        <v>44500</v>
      </c>
      <c r="AV21" s="82"/>
      <c r="AW21" s="82" t="s">
        <v>224</v>
      </c>
      <c r="AX21" s="82" t="s">
        <v>223</v>
      </c>
      <c r="AY21" s="82" t="s">
        <v>223</v>
      </c>
      <c r="AZ21" s="82"/>
      <c r="BA21" s="82"/>
      <c r="BB21" s="82"/>
      <c r="BC21" s="82"/>
      <c r="BD21" s="82"/>
      <c r="BE21" s="82">
        <v>615800</v>
      </c>
      <c r="BF21" s="82" t="s">
        <v>225</v>
      </c>
      <c r="BG21" s="82" t="s">
        <v>225</v>
      </c>
      <c r="BH21" s="82" t="s">
        <v>225</v>
      </c>
      <c r="BI21" s="82" t="s">
        <v>225</v>
      </c>
      <c r="BJ21" s="82" t="s">
        <v>224</v>
      </c>
      <c r="BK21" s="82">
        <v>513000</v>
      </c>
      <c r="BL21" s="86">
        <f t="shared" si="15"/>
        <v>1128800</v>
      </c>
      <c r="BM21" s="86"/>
      <c r="BN21" s="86"/>
      <c r="BO21" s="86"/>
      <c r="BP21" s="87"/>
      <c r="BQ21" s="77"/>
      <c r="BR21" s="77"/>
      <c r="BS21" s="88">
        <f t="shared" si="24"/>
        <v>-0.005</v>
      </c>
      <c r="BT21" s="88">
        <f t="shared" si="16"/>
        <v>0</v>
      </c>
      <c r="BU21" s="88">
        <f t="shared" si="17"/>
        <v>0</v>
      </c>
      <c r="BV21" s="88">
        <f t="shared" si="18"/>
        <v>0.014</v>
      </c>
      <c r="BW21" s="88">
        <f t="shared" si="19"/>
        <v>1.098</v>
      </c>
      <c r="BX21" s="88">
        <f t="shared" si="5"/>
        <v>0.32</v>
      </c>
      <c r="BY21" s="88">
        <f t="shared" si="6"/>
        <v>0</v>
      </c>
      <c r="BZ21" s="88">
        <f t="shared" si="20"/>
        <v>0.944</v>
      </c>
      <c r="CA21" s="88">
        <f t="shared" si="21"/>
        <v>0</v>
      </c>
      <c r="CB21" s="88">
        <f t="shared" si="22"/>
        <v>0.032</v>
      </c>
      <c r="CC21" s="88">
        <f t="shared" si="7"/>
        <v>2.404</v>
      </c>
      <c r="CD21" s="89">
        <f t="shared" si="8"/>
        <v>104.56</v>
      </c>
      <c r="CE21" s="88">
        <f t="shared" si="9"/>
        <v>2.4960092786505093</v>
      </c>
      <c r="CF21" s="90"/>
      <c r="CG21" s="86"/>
      <c r="CH21" s="86"/>
      <c r="CI21" s="86"/>
      <c r="CJ21" s="91"/>
      <c r="CK21" s="92" t="s">
        <v>240</v>
      </c>
      <c r="CL21" s="93" t="s">
        <v>245</v>
      </c>
      <c r="CM21" s="94">
        <v>781303900</v>
      </c>
      <c r="CN21" s="94">
        <v>708919</v>
      </c>
      <c r="CO21" s="95">
        <f t="shared" si="23"/>
        <v>0.091</v>
      </c>
    </row>
    <row r="22" spans="1:93" s="96" customFormat="1" ht="17.25" customHeight="1">
      <c r="A22" s="62" t="s">
        <v>148</v>
      </c>
      <c r="B22" s="63" t="s">
        <v>149</v>
      </c>
      <c r="C22" s="64">
        <v>2205639800</v>
      </c>
      <c r="D22" s="64">
        <v>3825573400</v>
      </c>
      <c r="E22" s="65">
        <f t="shared" si="25"/>
        <v>6031213200</v>
      </c>
      <c r="F22" s="66">
        <v>3612600</v>
      </c>
      <c r="G22" s="67">
        <f t="shared" si="10"/>
        <v>6027600600</v>
      </c>
      <c r="H22" s="68">
        <v>0</v>
      </c>
      <c r="I22" s="65">
        <f t="shared" si="11"/>
        <v>6027600600</v>
      </c>
      <c r="J22" s="69">
        <f t="shared" si="12"/>
        <v>2</v>
      </c>
      <c r="K22" s="70">
        <v>91.21</v>
      </c>
      <c r="L22" s="71"/>
      <c r="M22" s="72"/>
      <c r="N22" s="64">
        <v>0</v>
      </c>
      <c r="O22" s="73">
        <v>591919437</v>
      </c>
      <c r="P22" s="65">
        <f t="shared" si="13"/>
        <v>6619520037</v>
      </c>
      <c r="Q22" s="74">
        <f>ROUND(P22*Q$60,2)+0.2</f>
        <v>0.2</v>
      </c>
      <c r="R22" s="74"/>
      <c r="S22" s="74"/>
      <c r="T22" s="75">
        <v>25796.3</v>
      </c>
      <c r="U22" s="75">
        <v>0</v>
      </c>
      <c r="V22" s="76">
        <f t="shared" si="14"/>
        <v>-25796.1</v>
      </c>
      <c r="W22" s="77"/>
      <c r="X22" s="78">
        <f t="shared" si="26"/>
        <v>-25796.1</v>
      </c>
      <c r="Y22" s="79">
        <v>1185081.19</v>
      </c>
      <c r="Z22" s="79">
        <v>0</v>
      </c>
      <c r="AA22" s="79">
        <v>991483.98</v>
      </c>
      <c r="AB22" s="80">
        <v>66620889</v>
      </c>
      <c r="AC22" s="80">
        <v>29024615</v>
      </c>
      <c r="AD22" s="80">
        <v>0</v>
      </c>
      <c r="AE22" s="80">
        <v>20892857.95</v>
      </c>
      <c r="AF22" s="80">
        <v>1808280.18</v>
      </c>
      <c r="AG22" s="80">
        <v>0</v>
      </c>
      <c r="AH22" s="81">
        <f t="shared" si="2"/>
        <v>120497411.2</v>
      </c>
      <c r="AI22" s="82">
        <v>114865000</v>
      </c>
      <c r="AJ22" s="82">
        <v>11938200</v>
      </c>
      <c r="AK22" s="82">
        <v>453100400</v>
      </c>
      <c r="AL22" s="82">
        <v>24078000</v>
      </c>
      <c r="AM22" s="82">
        <v>14571000</v>
      </c>
      <c r="AN22" s="82">
        <v>142992600</v>
      </c>
      <c r="AO22" s="83">
        <f t="shared" si="27"/>
        <v>761545200</v>
      </c>
      <c r="AP22" s="84">
        <v>5076000</v>
      </c>
      <c r="AQ22" s="84">
        <v>12857310.09</v>
      </c>
      <c r="AR22" s="84">
        <v>1310000</v>
      </c>
      <c r="AS22" s="85">
        <f t="shared" si="28"/>
        <v>19243310.09</v>
      </c>
      <c r="AT22" s="82">
        <v>44250</v>
      </c>
      <c r="AU22" s="82">
        <v>185750</v>
      </c>
      <c r="AV22" s="82"/>
      <c r="AW22" s="82">
        <v>41400</v>
      </c>
      <c r="AX22" s="82" t="s">
        <v>223</v>
      </c>
      <c r="AY22" s="82" t="s">
        <v>223</v>
      </c>
      <c r="AZ22" s="82"/>
      <c r="BA22" s="82"/>
      <c r="BB22" s="82"/>
      <c r="BC22" s="82"/>
      <c r="BD22" s="82"/>
      <c r="BE22" s="82" t="s">
        <v>266</v>
      </c>
      <c r="BF22" s="82">
        <v>3571200</v>
      </c>
      <c r="BG22" s="82" t="s">
        <v>225</v>
      </c>
      <c r="BH22" s="82" t="s">
        <v>225</v>
      </c>
      <c r="BI22" s="82" t="s">
        <v>225</v>
      </c>
      <c r="BJ22" s="82"/>
      <c r="BK22" s="82"/>
      <c r="BL22" s="86">
        <f t="shared" si="15"/>
        <v>3612600</v>
      </c>
      <c r="BM22" s="86"/>
      <c r="BN22" s="86"/>
      <c r="BO22" s="86"/>
      <c r="BP22" s="87"/>
      <c r="BQ22" s="77"/>
      <c r="BR22" s="77"/>
      <c r="BS22" s="88">
        <f t="shared" si="24"/>
        <v>0</v>
      </c>
      <c r="BT22" s="88">
        <f t="shared" si="16"/>
        <v>0.02</v>
      </c>
      <c r="BU22" s="88">
        <f t="shared" si="17"/>
        <v>0</v>
      </c>
      <c r="BV22" s="88">
        <f t="shared" si="18"/>
        <v>0.016</v>
      </c>
      <c r="BW22" s="88">
        <f t="shared" si="19"/>
        <v>1.105</v>
      </c>
      <c r="BX22" s="88">
        <f t="shared" si="5"/>
        <v>0.482</v>
      </c>
      <c r="BY22" s="88">
        <f t="shared" si="6"/>
        <v>0</v>
      </c>
      <c r="BZ22" s="88">
        <f t="shared" si="20"/>
        <v>0.347</v>
      </c>
      <c r="CA22" s="88">
        <f t="shared" si="21"/>
        <v>0.03</v>
      </c>
      <c r="CB22" s="88">
        <f t="shared" si="22"/>
        <v>0</v>
      </c>
      <c r="CC22" s="88">
        <f t="shared" si="7"/>
        <v>2</v>
      </c>
      <c r="CD22" s="89">
        <f t="shared" si="8"/>
        <v>91.21</v>
      </c>
      <c r="CE22" s="88">
        <f t="shared" si="9"/>
        <v>1.8203345639332795</v>
      </c>
      <c r="CF22" s="90"/>
      <c r="CG22" s="86"/>
      <c r="CH22" s="86"/>
      <c r="CI22" s="86"/>
      <c r="CJ22" s="91"/>
      <c r="CK22" s="92" t="s">
        <v>246</v>
      </c>
      <c r="CL22" s="93" t="s">
        <v>239</v>
      </c>
      <c r="CM22" s="94">
        <v>169224200</v>
      </c>
      <c r="CN22" s="94">
        <v>118000</v>
      </c>
      <c r="CO22" s="95">
        <f t="shared" si="23"/>
        <v>0.07</v>
      </c>
    </row>
    <row r="23" spans="1:93" s="96" customFormat="1" ht="17.25" customHeight="1">
      <c r="A23" s="62" t="s">
        <v>150</v>
      </c>
      <c r="B23" s="63" t="s">
        <v>151</v>
      </c>
      <c r="C23" s="64">
        <v>1240866400</v>
      </c>
      <c r="D23" s="64">
        <v>1066364900</v>
      </c>
      <c r="E23" s="65">
        <f t="shared" si="25"/>
        <v>2307231300</v>
      </c>
      <c r="F23" s="66">
        <v>113100</v>
      </c>
      <c r="G23" s="67">
        <f t="shared" si="10"/>
        <v>2307118200</v>
      </c>
      <c r="H23" s="68">
        <v>1614771</v>
      </c>
      <c r="I23" s="65">
        <f t="shared" si="11"/>
        <v>2308732971</v>
      </c>
      <c r="J23" s="69">
        <f t="shared" si="12"/>
        <v>2.291</v>
      </c>
      <c r="K23" s="70">
        <v>98.65</v>
      </c>
      <c r="L23" s="71"/>
      <c r="M23" s="72"/>
      <c r="N23" s="64">
        <v>0</v>
      </c>
      <c r="O23" s="73">
        <v>38828931</v>
      </c>
      <c r="P23" s="65">
        <f t="shared" si="13"/>
        <v>2347561902</v>
      </c>
      <c r="Q23" s="74">
        <f>ROUND(P23*Q$60,2)+0.07</f>
        <v>0.07</v>
      </c>
      <c r="R23" s="74"/>
      <c r="S23" s="74"/>
      <c r="T23" s="75">
        <v>0</v>
      </c>
      <c r="U23" s="75">
        <v>3911.33</v>
      </c>
      <c r="V23" s="76">
        <f t="shared" si="14"/>
        <v>3911.4</v>
      </c>
      <c r="W23" s="77"/>
      <c r="X23" s="78">
        <f t="shared" si="26"/>
        <v>3911.4</v>
      </c>
      <c r="Y23" s="79">
        <v>421125.94</v>
      </c>
      <c r="Z23" s="79">
        <v>123620.84</v>
      </c>
      <c r="AA23" s="79">
        <v>352337.1</v>
      </c>
      <c r="AB23" s="80">
        <v>37821423</v>
      </c>
      <c r="AC23" s="80">
        <v>0</v>
      </c>
      <c r="AD23" s="80">
        <v>0</v>
      </c>
      <c r="AE23" s="80">
        <v>13923000</v>
      </c>
      <c r="AF23" s="80">
        <v>230888.33</v>
      </c>
      <c r="AG23" s="80">
        <v>0</v>
      </c>
      <c r="AH23" s="81">
        <f t="shared" si="2"/>
        <v>52876306.61</v>
      </c>
      <c r="AI23" s="82">
        <v>56029200</v>
      </c>
      <c r="AJ23" s="82">
        <v>7688200</v>
      </c>
      <c r="AK23" s="82">
        <v>96889800</v>
      </c>
      <c r="AL23" s="82">
        <v>6697800</v>
      </c>
      <c r="AM23" s="82">
        <v>4523100</v>
      </c>
      <c r="AN23" s="82">
        <v>30695800</v>
      </c>
      <c r="AO23" s="83">
        <f t="shared" si="27"/>
        <v>202523900</v>
      </c>
      <c r="AP23" s="84">
        <v>2838901.87</v>
      </c>
      <c r="AQ23" s="84">
        <v>3877847.89</v>
      </c>
      <c r="AR23" s="84">
        <v>550000</v>
      </c>
      <c r="AS23" s="85">
        <f t="shared" si="28"/>
        <v>7266749.76</v>
      </c>
      <c r="AT23" s="82">
        <v>36500</v>
      </c>
      <c r="AU23" s="82">
        <v>160000</v>
      </c>
      <c r="AV23" s="82"/>
      <c r="AW23" s="82" t="s">
        <v>224</v>
      </c>
      <c r="AX23" s="82" t="s">
        <v>223</v>
      </c>
      <c r="AY23" s="82" t="s">
        <v>223</v>
      </c>
      <c r="AZ23" s="82"/>
      <c r="BA23" s="82"/>
      <c r="BB23" s="82"/>
      <c r="BC23" s="82"/>
      <c r="BD23" s="82" t="s">
        <v>266</v>
      </c>
      <c r="BE23" s="82"/>
      <c r="BF23" s="82">
        <v>113100</v>
      </c>
      <c r="BG23" s="82" t="s">
        <v>225</v>
      </c>
      <c r="BH23" s="82" t="s">
        <v>225</v>
      </c>
      <c r="BI23" s="82" t="s">
        <v>225</v>
      </c>
      <c r="BJ23" s="82" t="s">
        <v>224</v>
      </c>
      <c r="BK23" s="82"/>
      <c r="BL23" s="86">
        <f t="shared" si="15"/>
        <v>113100</v>
      </c>
      <c r="BM23" s="86"/>
      <c r="BN23" s="86"/>
      <c r="BO23" s="86"/>
      <c r="BP23" s="87"/>
      <c r="BQ23" s="77"/>
      <c r="BR23" s="77"/>
      <c r="BS23" s="88">
        <f t="shared" si="24"/>
        <v>0</v>
      </c>
      <c r="BT23" s="88">
        <f t="shared" si="16"/>
        <v>0.018</v>
      </c>
      <c r="BU23" s="88">
        <f>ROUNDUP(Z23/I23*100,3)</f>
        <v>0.006</v>
      </c>
      <c r="BV23" s="88">
        <f t="shared" si="18"/>
        <v>0.015</v>
      </c>
      <c r="BW23" s="88">
        <f t="shared" si="19"/>
        <v>1.638</v>
      </c>
      <c r="BX23" s="88">
        <f t="shared" si="5"/>
        <v>0</v>
      </c>
      <c r="BY23" s="88">
        <f t="shared" si="6"/>
        <v>0</v>
      </c>
      <c r="BZ23" s="88">
        <f t="shared" si="20"/>
        <v>0.603</v>
      </c>
      <c r="CA23" s="88">
        <f t="shared" si="21"/>
        <v>0.01</v>
      </c>
      <c r="CB23" s="88">
        <f t="shared" si="22"/>
        <v>0</v>
      </c>
      <c r="CC23" s="88">
        <f t="shared" si="7"/>
        <v>2.291</v>
      </c>
      <c r="CD23" s="89">
        <f t="shared" si="8"/>
        <v>98.65</v>
      </c>
      <c r="CE23" s="88">
        <f t="shared" si="9"/>
        <v>2.252392431694864</v>
      </c>
      <c r="CF23" s="90"/>
      <c r="CG23" s="86"/>
      <c r="CH23" s="86"/>
      <c r="CI23" s="86"/>
      <c r="CJ23" s="91"/>
      <c r="CK23" s="92" t="s">
        <v>247</v>
      </c>
      <c r="CL23" s="93" t="s">
        <v>228</v>
      </c>
      <c r="CM23" s="94">
        <v>3765776700</v>
      </c>
      <c r="CN23" s="94">
        <v>1405655</v>
      </c>
      <c r="CO23" s="95">
        <f t="shared" si="23"/>
        <v>0.038</v>
      </c>
    </row>
    <row r="24" spans="1:93" s="96" customFormat="1" ht="17.25" customHeight="1">
      <c r="A24" s="62" t="s">
        <v>152</v>
      </c>
      <c r="B24" s="63" t="s">
        <v>153</v>
      </c>
      <c r="C24" s="64">
        <v>300415900</v>
      </c>
      <c r="D24" s="64">
        <v>292804600</v>
      </c>
      <c r="E24" s="65">
        <f t="shared" si="25"/>
        <v>593220500</v>
      </c>
      <c r="F24" s="66">
        <v>60000</v>
      </c>
      <c r="G24" s="67">
        <f t="shared" si="10"/>
        <v>593160500</v>
      </c>
      <c r="H24" s="68">
        <v>317915</v>
      </c>
      <c r="I24" s="65">
        <f t="shared" si="11"/>
        <v>593478415</v>
      </c>
      <c r="J24" s="69">
        <f t="shared" si="12"/>
        <v>2.499</v>
      </c>
      <c r="K24" s="70">
        <v>97.68</v>
      </c>
      <c r="L24" s="71"/>
      <c r="M24" s="72"/>
      <c r="N24" s="64">
        <v>0</v>
      </c>
      <c r="O24" s="73">
        <v>15155034</v>
      </c>
      <c r="P24" s="65">
        <f t="shared" si="13"/>
        <v>608633449</v>
      </c>
      <c r="Q24" s="74">
        <f>ROUND(P24*Q$60,2)+0.01</f>
        <v>0.01</v>
      </c>
      <c r="R24" s="74"/>
      <c r="S24" s="74"/>
      <c r="T24" s="75">
        <v>0</v>
      </c>
      <c r="U24" s="75">
        <v>2331.9</v>
      </c>
      <c r="V24" s="76">
        <f t="shared" si="14"/>
        <v>2331.9100000000003</v>
      </c>
      <c r="W24" s="77"/>
      <c r="X24" s="78">
        <f t="shared" si="26"/>
        <v>2331.9100000000003</v>
      </c>
      <c r="Y24" s="79">
        <v>109276.29</v>
      </c>
      <c r="Z24" s="79">
        <v>0</v>
      </c>
      <c r="AA24" s="79">
        <v>91414.35</v>
      </c>
      <c r="AB24" s="80">
        <v>3335949</v>
      </c>
      <c r="AC24" s="80">
        <v>3734294</v>
      </c>
      <c r="AD24" s="80">
        <v>0</v>
      </c>
      <c r="AE24" s="80">
        <v>7525868.51</v>
      </c>
      <c r="AF24" s="80">
        <v>29379.15</v>
      </c>
      <c r="AG24" s="80">
        <v>0</v>
      </c>
      <c r="AH24" s="81">
        <f t="shared" si="2"/>
        <v>14828513.209999999</v>
      </c>
      <c r="AI24" s="82">
        <v>20019900</v>
      </c>
      <c r="AJ24" s="82">
        <v>0</v>
      </c>
      <c r="AK24" s="82">
        <v>10665600</v>
      </c>
      <c r="AL24" s="82">
        <v>5940900</v>
      </c>
      <c r="AM24" s="82">
        <v>69800</v>
      </c>
      <c r="AN24" s="82">
        <v>25480100</v>
      </c>
      <c r="AO24" s="83">
        <f t="shared" si="27"/>
        <v>62176300</v>
      </c>
      <c r="AP24" s="84">
        <v>1500000</v>
      </c>
      <c r="AQ24" s="84">
        <v>2094206.68</v>
      </c>
      <c r="AR24" s="84">
        <v>650000</v>
      </c>
      <c r="AS24" s="85">
        <f t="shared" si="28"/>
        <v>4244206.68</v>
      </c>
      <c r="AT24" s="82">
        <v>11000</v>
      </c>
      <c r="AU24" s="82">
        <v>28500</v>
      </c>
      <c r="AV24" s="82"/>
      <c r="AW24" s="82" t="s">
        <v>224</v>
      </c>
      <c r="AX24" s="82" t="s">
        <v>223</v>
      </c>
      <c r="AY24" s="82" t="s">
        <v>223</v>
      </c>
      <c r="AZ24" s="82"/>
      <c r="BA24" s="82"/>
      <c r="BB24" s="82"/>
      <c r="BC24" s="82"/>
      <c r="BD24" s="82" t="s">
        <v>266</v>
      </c>
      <c r="BE24" s="82"/>
      <c r="BF24" s="82">
        <v>60000</v>
      </c>
      <c r="BG24" s="82" t="s">
        <v>225</v>
      </c>
      <c r="BH24" s="82" t="s">
        <v>225</v>
      </c>
      <c r="BI24" s="82" t="s">
        <v>225</v>
      </c>
      <c r="BJ24" s="82" t="s">
        <v>224</v>
      </c>
      <c r="BK24" s="82"/>
      <c r="BL24" s="86">
        <f t="shared" si="15"/>
        <v>60000</v>
      </c>
      <c r="BM24" s="86"/>
      <c r="BN24" s="86"/>
      <c r="BO24" s="86"/>
      <c r="BP24" s="87"/>
      <c r="BQ24" s="77"/>
      <c r="BR24" s="77"/>
      <c r="BS24" s="88">
        <f t="shared" si="24"/>
        <v>0</v>
      </c>
      <c r="BT24" s="88">
        <f>ROUNDUP(Y24/I24*100,3)</f>
        <v>0.019</v>
      </c>
      <c r="BU24" s="88">
        <f t="shared" si="17"/>
        <v>0</v>
      </c>
      <c r="BV24" s="88">
        <f>ROUNDUP(AA24/I24*100,3)</f>
        <v>0.016</v>
      </c>
      <c r="BW24" s="88">
        <f t="shared" si="19"/>
        <v>0.562</v>
      </c>
      <c r="BX24" s="88">
        <f t="shared" si="5"/>
        <v>0.629</v>
      </c>
      <c r="BY24" s="88">
        <f t="shared" si="6"/>
        <v>0</v>
      </c>
      <c r="BZ24" s="88">
        <f t="shared" si="20"/>
        <v>1.268</v>
      </c>
      <c r="CA24" s="88">
        <f t="shared" si="21"/>
        <v>0.005</v>
      </c>
      <c r="CB24" s="88">
        <f t="shared" si="22"/>
        <v>0</v>
      </c>
      <c r="CC24" s="88">
        <f t="shared" si="7"/>
        <v>2.499</v>
      </c>
      <c r="CD24" s="89">
        <f t="shared" si="8"/>
        <v>97.68</v>
      </c>
      <c r="CE24" s="88">
        <f t="shared" si="9"/>
        <v>2.436361858580664</v>
      </c>
      <c r="CF24" s="90"/>
      <c r="CG24" s="86"/>
      <c r="CH24" s="86"/>
      <c r="CI24" s="86"/>
      <c r="CJ24" s="91"/>
      <c r="CK24" s="92" t="s">
        <v>247</v>
      </c>
      <c r="CL24" s="93" t="s">
        <v>229</v>
      </c>
      <c r="CM24" s="94">
        <v>2535589460</v>
      </c>
      <c r="CN24" s="94">
        <v>1260240</v>
      </c>
      <c r="CO24" s="95">
        <f t="shared" si="23"/>
        <v>0.05</v>
      </c>
    </row>
    <row r="25" spans="1:93" s="96" customFormat="1" ht="17.25" customHeight="1">
      <c r="A25" s="62" t="s">
        <v>154</v>
      </c>
      <c r="B25" s="63" t="s">
        <v>155</v>
      </c>
      <c r="C25" s="64">
        <v>1624441900</v>
      </c>
      <c r="D25" s="64">
        <v>2502885600</v>
      </c>
      <c r="E25" s="65">
        <f t="shared" si="25"/>
        <v>4127327500</v>
      </c>
      <c r="F25" s="66">
        <v>0</v>
      </c>
      <c r="G25" s="67">
        <f t="shared" si="10"/>
        <v>4127327500</v>
      </c>
      <c r="H25" s="68">
        <v>6679675</v>
      </c>
      <c r="I25" s="65">
        <f t="shared" si="11"/>
        <v>4134007175</v>
      </c>
      <c r="J25" s="69">
        <f t="shared" si="12"/>
        <v>1.7389999999999999</v>
      </c>
      <c r="K25" s="70">
        <v>98.33</v>
      </c>
      <c r="L25" s="71"/>
      <c r="M25" s="72"/>
      <c r="N25" s="64">
        <v>0</v>
      </c>
      <c r="O25" s="73">
        <v>90750318</v>
      </c>
      <c r="P25" s="65">
        <f t="shared" si="13"/>
        <v>4224757493</v>
      </c>
      <c r="Q25" s="74">
        <f>ROUND(P25*Q$60,2)+0.13</f>
        <v>0.13</v>
      </c>
      <c r="R25" s="74"/>
      <c r="S25" s="74"/>
      <c r="T25" s="75">
        <v>0</v>
      </c>
      <c r="U25" s="75">
        <v>7322.07</v>
      </c>
      <c r="V25" s="76">
        <f t="shared" si="14"/>
        <v>7322.2</v>
      </c>
      <c r="W25" s="77"/>
      <c r="X25" s="78">
        <f t="shared" si="26"/>
        <v>7322.2</v>
      </c>
      <c r="Y25" s="79">
        <v>757892.57</v>
      </c>
      <c r="Z25" s="79">
        <v>222475.21</v>
      </c>
      <c r="AA25" s="79">
        <v>634102.16</v>
      </c>
      <c r="AB25" s="80">
        <v>54691561</v>
      </c>
      <c r="AC25" s="80">
        <v>0</v>
      </c>
      <c r="AD25" s="80">
        <v>0</v>
      </c>
      <c r="AE25" s="80">
        <v>14527675.55</v>
      </c>
      <c r="AF25" s="80">
        <v>1036624.93</v>
      </c>
      <c r="AG25" s="80">
        <v>0</v>
      </c>
      <c r="AH25" s="81">
        <f t="shared" si="2"/>
        <v>71877653.62</v>
      </c>
      <c r="AI25" s="82">
        <v>54321300</v>
      </c>
      <c r="AJ25" s="82">
        <v>7775700</v>
      </c>
      <c r="AK25" s="82">
        <v>254239200</v>
      </c>
      <c r="AL25" s="82">
        <v>109154600</v>
      </c>
      <c r="AM25" s="82">
        <v>8078100</v>
      </c>
      <c r="AN25" s="82">
        <v>10968100</v>
      </c>
      <c r="AO25" s="83">
        <f t="shared" si="27"/>
        <v>444537000</v>
      </c>
      <c r="AP25" s="84">
        <v>2710000</v>
      </c>
      <c r="AQ25" s="84">
        <v>4055530.87</v>
      </c>
      <c r="AR25" s="84">
        <v>575000</v>
      </c>
      <c r="AS25" s="85">
        <f t="shared" si="28"/>
        <v>7340530.87</v>
      </c>
      <c r="AT25" s="82">
        <v>9500</v>
      </c>
      <c r="AU25" s="82">
        <v>78250</v>
      </c>
      <c r="AV25" s="82"/>
      <c r="AW25" s="82" t="s">
        <v>224</v>
      </c>
      <c r="AX25" s="82" t="s">
        <v>223</v>
      </c>
      <c r="AY25" s="82" t="s">
        <v>223</v>
      </c>
      <c r="AZ25" s="82"/>
      <c r="BA25" s="82"/>
      <c r="BB25" s="82"/>
      <c r="BC25" s="82"/>
      <c r="BD25" s="82" t="s">
        <v>266</v>
      </c>
      <c r="BE25" s="82"/>
      <c r="BF25" s="82" t="s">
        <v>225</v>
      </c>
      <c r="BG25" s="82" t="s">
        <v>225</v>
      </c>
      <c r="BH25" s="82" t="s">
        <v>225</v>
      </c>
      <c r="BI25" s="82" t="s">
        <v>225</v>
      </c>
      <c r="BJ25" s="82" t="s">
        <v>224</v>
      </c>
      <c r="BK25" s="82"/>
      <c r="BL25" s="86">
        <f t="shared" si="15"/>
        <v>0</v>
      </c>
      <c r="BM25" s="86"/>
      <c r="BN25" s="86"/>
      <c r="BO25" s="86"/>
      <c r="BP25" s="87"/>
      <c r="BQ25" s="77"/>
      <c r="BR25" s="77"/>
      <c r="BS25" s="88">
        <f t="shared" si="24"/>
        <v>0</v>
      </c>
      <c r="BT25" s="88">
        <f t="shared" si="16"/>
        <v>0.018</v>
      </c>
      <c r="BU25" s="88">
        <f>ROUNDUP(Z25/I25*100,3)</f>
        <v>0.006</v>
      </c>
      <c r="BV25" s="88">
        <f t="shared" si="18"/>
        <v>0.015</v>
      </c>
      <c r="BW25" s="88">
        <f t="shared" si="19"/>
        <v>1.323</v>
      </c>
      <c r="BX25" s="88">
        <f t="shared" si="5"/>
        <v>0</v>
      </c>
      <c r="BY25" s="88">
        <f t="shared" si="6"/>
        <v>0</v>
      </c>
      <c r="BZ25" s="88">
        <f>ROUNDUP(AE25/I25*100,3)</f>
        <v>0.352</v>
      </c>
      <c r="CA25" s="88">
        <f t="shared" si="21"/>
        <v>0.025</v>
      </c>
      <c r="CB25" s="88">
        <f t="shared" si="22"/>
        <v>0</v>
      </c>
      <c r="CC25" s="88">
        <f t="shared" si="7"/>
        <v>1.7389999999999999</v>
      </c>
      <c r="CD25" s="89">
        <f t="shared" si="8"/>
        <v>98.33</v>
      </c>
      <c r="CE25" s="88">
        <f t="shared" si="9"/>
        <v>1.7013438934446314</v>
      </c>
      <c r="CF25" s="90"/>
      <c r="CG25" s="86"/>
      <c r="CH25" s="86"/>
      <c r="CI25" s="86"/>
      <c r="CJ25" s="91"/>
      <c r="CK25" s="92" t="s">
        <v>248</v>
      </c>
      <c r="CL25" s="93" t="s">
        <v>228</v>
      </c>
      <c r="CM25" s="94">
        <v>1967579475</v>
      </c>
      <c r="CN25" s="94">
        <v>774494</v>
      </c>
      <c r="CO25" s="95">
        <f t="shared" si="23"/>
        <v>0.04</v>
      </c>
    </row>
    <row r="26" spans="1:93" s="96" customFormat="1" ht="17.25" customHeight="1">
      <c r="A26" s="62" t="s">
        <v>156</v>
      </c>
      <c r="B26" s="63" t="s">
        <v>157</v>
      </c>
      <c r="C26" s="64">
        <v>2483500000</v>
      </c>
      <c r="D26" s="64">
        <v>3881939700</v>
      </c>
      <c r="E26" s="65">
        <f t="shared" si="25"/>
        <v>6365439700</v>
      </c>
      <c r="F26" s="66">
        <v>0</v>
      </c>
      <c r="G26" s="67">
        <f t="shared" si="10"/>
        <v>6365439700</v>
      </c>
      <c r="H26" s="68">
        <v>0</v>
      </c>
      <c r="I26" s="65">
        <f t="shared" si="11"/>
        <v>6365439700</v>
      </c>
      <c r="J26" s="69">
        <f t="shared" si="12"/>
        <v>2.077</v>
      </c>
      <c r="K26" s="70">
        <v>95.49</v>
      </c>
      <c r="L26" s="71"/>
      <c r="M26" s="72"/>
      <c r="N26" s="64">
        <v>0</v>
      </c>
      <c r="O26" s="73">
        <v>311255756</v>
      </c>
      <c r="P26" s="65">
        <f t="shared" si="13"/>
        <v>6676695456</v>
      </c>
      <c r="Q26" s="74">
        <f>ROUND(P26*Q$60,2)+0.2</f>
        <v>0.2</v>
      </c>
      <c r="R26" s="74"/>
      <c r="S26" s="74"/>
      <c r="T26" s="75">
        <v>43590.41</v>
      </c>
      <c r="U26" s="75">
        <v>0</v>
      </c>
      <c r="V26" s="76">
        <f t="shared" si="14"/>
        <v>-43590.21000000001</v>
      </c>
      <c r="W26" s="77"/>
      <c r="X26" s="78">
        <f t="shared" si="26"/>
        <v>-43590.21000000001</v>
      </c>
      <c r="Y26" s="79">
        <v>1194082.49</v>
      </c>
      <c r="Z26" s="79">
        <v>350547.35</v>
      </c>
      <c r="AA26" s="79">
        <v>999052.52</v>
      </c>
      <c r="AB26" s="80">
        <v>75427623</v>
      </c>
      <c r="AC26" s="80">
        <v>27539549</v>
      </c>
      <c r="AD26" s="80">
        <v>0</v>
      </c>
      <c r="AE26" s="80">
        <v>25409000</v>
      </c>
      <c r="AF26" s="80">
        <v>1273087.94</v>
      </c>
      <c r="AG26" s="80">
        <v>0</v>
      </c>
      <c r="AH26" s="81">
        <f t="shared" si="2"/>
        <v>132149352.09</v>
      </c>
      <c r="AI26" s="82">
        <v>111955500</v>
      </c>
      <c r="AJ26" s="82">
        <v>7463200</v>
      </c>
      <c r="AK26" s="82">
        <v>267513500</v>
      </c>
      <c r="AL26" s="82">
        <v>41983900</v>
      </c>
      <c r="AM26" s="82">
        <v>874600</v>
      </c>
      <c r="AN26" s="82">
        <v>95865100</v>
      </c>
      <c r="AO26" s="83">
        <f t="shared" si="27"/>
        <v>525655800</v>
      </c>
      <c r="AP26" s="84">
        <v>3302212</v>
      </c>
      <c r="AQ26" s="84">
        <v>15923970</v>
      </c>
      <c r="AR26" s="84">
        <v>2300000</v>
      </c>
      <c r="AS26" s="85">
        <f t="shared" si="28"/>
        <v>21526182</v>
      </c>
      <c r="AT26" s="82">
        <v>58250</v>
      </c>
      <c r="AU26" s="82">
        <v>282000</v>
      </c>
      <c r="AV26" s="82"/>
      <c r="AW26" s="82" t="s">
        <v>224</v>
      </c>
      <c r="AX26" s="82" t="s">
        <v>223</v>
      </c>
      <c r="AY26" s="82" t="s">
        <v>223</v>
      </c>
      <c r="AZ26" s="82"/>
      <c r="BA26" s="82"/>
      <c r="BB26" s="82"/>
      <c r="BC26" s="82"/>
      <c r="BD26" s="82" t="s">
        <v>266</v>
      </c>
      <c r="BE26" s="82"/>
      <c r="BF26" s="82" t="s">
        <v>225</v>
      </c>
      <c r="BG26" s="82" t="s">
        <v>225</v>
      </c>
      <c r="BH26" s="82" t="s">
        <v>225</v>
      </c>
      <c r="BI26" s="82" t="s">
        <v>225</v>
      </c>
      <c r="BJ26" s="82" t="s">
        <v>224</v>
      </c>
      <c r="BK26" s="82" t="s">
        <v>226</v>
      </c>
      <c r="BL26" s="86">
        <f t="shared" si="15"/>
        <v>0</v>
      </c>
      <c r="BM26" s="86"/>
      <c r="BN26" s="86"/>
      <c r="BO26" s="86"/>
      <c r="BP26" s="87"/>
      <c r="BQ26" s="77"/>
      <c r="BR26" s="77"/>
      <c r="BS26" s="88">
        <f t="shared" si="24"/>
        <v>-0.001</v>
      </c>
      <c r="BT26" s="88">
        <f t="shared" si="16"/>
        <v>0.019</v>
      </c>
      <c r="BU26" s="88">
        <f>ROUND(Z26/I26*100,3)-0.001</f>
        <v>0.005</v>
      </c>
      <c r="BV26" s="88">
        <f t="shared" si="18"/>
        <v>0.016</v>
      </c>
      <c r="BW26" s="88">
        <f t="shared" si="19"/>
        <v>1.185</v>
      </c>
      <c r="BX26" s="88">
        <f t="shared" si="5"/>
        <v>0.433</v>
      </c>
      <c r="BY26" s="88">
        <f t="shared" si="6"/>
        <v>0</v>
      </c>
      <c r="BZ26" s="88">
        <f t="shared" si="20"/>
        <v>0.399</v>
      </c>
      <c r="CA26" s="88">
        <f t="shared" si="21"/>
        <v>0.02</v>
      </c>
      <c r="CB26" s="88">
        <f t="shared" si="22"/>
        <v>0</v>
      </c>
      <c r="CC26" s="88">
        <f t="shared" si="7"/>
        <v>2.077</v>
      </c>
      <c r="CD26" s="89">
        <f t="shared" si="8"/>
        <v>95.49</v>
      </c>
      <c r="CE26" s="88">
        <f t="shared" si="9"/>
        <v>1.9792628398415901</v>
      </c>
      <c r="CF26" s="90"/>
      <c r="CG26" s="86"/>
      <c r="CH26" s="86"/>
      <c r="CI26" s="86"/>
      <c r="CJ26" s="91"/>
      <c r="CK26" s="92" t="s">
        <v>249</v>
      </c>
      <c r="CL26" s="93" t="s">
        <v>228</v>
      </c>
      <c r="CM26" s="94">
        <v>2967019600</v>
      </c>
      <c r="CN26" s="94">
        <v>973563</v>
      </c>
      <c r="CO26" s="95">
        <f t="shared" si="23"/>
        <v>0.033</v>
      </c>
    </row>
    <row r="27" spans="1:93" s="96" customFormat="1" ht="17.25" customHeight="1">
      <c r="A27" s="62" t="s">
        <v>158</v>
      </c>
      <c r="B27" s="63" t="s">
        <v>159</v>
      </c>
      <c r="C27" s="64">
        <v>129934300</v>
      </c>
      <c r="D27" s="64">
        <v>112832000</v>
      </c>
      <c r="E27" s="65">
        <f t="shared" si="25"/>
        <v>242766300</v>
      </c>
      <c r="F27" s="66">
        <v>0</v>
      </c>
      <c r="G27" s="67">
        <f t="shared" si="10"/>
        <v>242766300</v>
      </c>
      <c r="H27" s="68">
        <v>79888</v>
      </c>
      <c r="I27" s="65">
        <f t="shared" si="11"/>
        <v>242846188</v>
      </c>
      <c r="J27" s="69">
        <f t="shared" si="12"/>
        <v>1.15</v>
      </c>
      <c r="K27" s="70">
        <v>104.43</v>
      </c>
      <c r="L27" s="71"/>
      <c r="M27" s="72"/>
      <c r="N27" s="64">
        <v>10297308</v>
      </c>
      <c r="O27" s="73">
        <v>0</v>
      </c>
      <c r="P27" s="65">
        <f t="shared" si="13"/>
        <v>232548880</v>
      </c>
      <c r="Q27" s="74">
        <f>ROUND(P27*Q$60,2)+0.01</f>
        <v>0.01</v>
      </c>
      <c r="R27" s="74"/>
      <c r="S27" s="74"/>
      <c r="T27" s="75">
        <v>596.64</v>
      </c>
      <c r="U27" s="75">
        <v>0</v>
      </c>
      <c r="V27" s="76">
        <f t="shared" si="14"/>
        <v>-596.63</v>
      </c>
      <c r="W27" s="77"/>
      <c r="X27" s="78">
        <f t="shared" si="26"/>
        <v>-596.63</v>
      </c>
      <c r="Y27" s="79">
        <v>41649.64</v>
      </c>
      <c r="Z27" s="79">
        <v>0</v>
      </c>
      <c r="AA27" s="79">
        <v>34848.96</v>
      </c>
      <c r="AB27" s="80">
        <v>846079</v>
      </c>
      <c r="AC27" s="80">
        <v>0</v>
      </c>
      <c r="AD27" s="80">
        <v>0</v>
      </c>
      <c r="AE27" s="80">
        <v>1870550.31</v>
      </c>
      <c r="AF27" s="80">
        <v>0</v>
      </c>
      <c r="AG27" s="80">
        <v>0</v>
      </c>
      <c r="AH27" s="81">
        <f t="shared" si="2"/>
        <v>2792531.2800000003</v>
      </c>
      <c r="AI27" s="82">
        <v>0</v>
      </c>
      <c r="AJ27" s="82">
        <v>4200</v>
      </c>
      <c r="AK27" s="82">
        <v>3252800</v>
      </c>
      <c r="AL27" s="82">
        <v>0</v>
      </c>
      <c r="AM27" s="82">
        <v>0</v>
      </c>
      <c r="AN27" s="82">
        <v>2481200</v>
      </c>
      <c r="AO27" s="83">
        <f t="shared" si="27"/>
        <v>5738200</v>
      </c>
      <c r="AP27" s="84">
        <v>226740</v>
      </c>
      <c r="AQ27" s="84">
        <v>187467.53</v>
      </c>
      <c r="AR27" s="84">
        <v>18966</v>
      </c>
      <c r="AS27" s="85">
        <f t="shared" si="28"/>
        <v>433173.53</v>
      </c>
      <c r="AT27" s="82">
        <v>250</v>
      </c>
      <c r="AU27" s="82">
        <v>10500</v>
      </c>
      <c r="AV27" s="82"/>
      <c r="AW27" s="82" t="s">
        <v>224</v>
      </c>
      <c r="AX27" s="82" t="s">
        <v>223</v>
      </c>
      <c r="AY27" s="82" t="s">
        <v>223</v>
      </c>
      <c r="AZ27" s="82"/>
      <c r="BA27" s="82"/>
      <c r="BB27" s="82"/>
      <c r="BC27" s="82"/>
      <c r="BD27" s="82" t="s">
        <v>266</v>
      </c>
      <c r="BE27" s="82"/>
      <c r="BF27" s="82" t="s">
        <v>225</v>
      </c>
      <c r="BG27" s="82" t="s">
        <v>225</v>
      </c>
      <c r="BH27" s="82" t="s">
        <v>225</v>
      </c>
      <c r="BI27" s="82" t="s">
        <v>225</v>
      </c>
      <c r="BJ27" s="82" t="s">
        <v>224</v>
      </c>
      <c r="BK27" s="82" t="s">
        <v>226</v>
      </c>
      <c r="BL27" s="86">
        <f t="shared" si="15"/>
        <v>0</v>
      </c>
      <c r="BM27" s="86"/>
      <c r="BN27" s="86"/>
      <c r="BO27" s="86"/>
      <c r="BP27" s="87"/>
      <c r="BQ27" s="77"/>
      <c r="BR27" s="77"/>
      <c r="BS27" s="88">
        <f t="shared" si="24"/>
        <v>0</v>
      </c>
      <c r="BT27" s="88">
        <f t="shared" si="16"/>
        <v>0.017</v>
      </c>
      <c r="BU27" s="88">
        <f t="shared" si="17"/>
        <v>0</v>
      </c>
      <c r="BV27" s="88">
        <f t="shared" si="18"/>
        <v>0.014</v>
      </c>
      <c r="BW27" s="88">
        <f>ROUNDUP(AB27/I27*100,3)</f>
        <v>0.349</v>
      </c>
      <c r="BX27" s="88">
        <f t="shared" si="5"/>
        <v>0</v>
      </c>
      <c r="BY27" s="88">
        <f t="shared" si="6"/>
        <v>0</v>
      </c>
      <c r="BZ27" s="88">
        <f t="shared" si="20"/>
        <v>0.77</v>
      </c>
      <c r="CA27" s="88">
        <f t="shared" si="21"/>
        <v>0</v>
      </c>
      <c r="CB27" s="88">
        <f t="shared" si="22"/>
        <v>0</v>
      </c>
      <c r="CC27" s="88">
        <f t="shared" si="7"/>
        <v>1.15</v>
      </c>
      <c r="CD27" s="89">
        <f t="shared" si="8"/>
        <v>104.43</v>
      </c>
      <c r="CE27" s="88">
        <f t="shared" si="9"/>
        <v>1.2008362628966436</v>
      </c>
      <c r="CF27" s="90"/>
      <c r="CG27" s="86"/>
      <c r="CH27" s="86"/>
      <c r="CI27" s="86"/>
      <c r="CJ27" s="91"/>
      <c r="CK27" s="92" t="s">
        <v>249</v>
      </c>
      <c r="CL27" s="93" t="s">
        <v>229</v>
      </c>
      <c r="CM27" s="94">
        <v>1960958900</v>
      </c>
      <c r="CN27" s="94">
        <v>917819</v>
      </c>
      <c r="CO27" s="95">
        <f t="shared" si="23"/>
        <v>0.047</v>
      </c>
    </row>
    <row r="28" spans="1:93" s="96" customFormat="1" ht="17.25" customHeight="1">
      <c r="A28" s="62" t="s">
        <v>160</v>
      </c>
      <c r="B28" s="63" t="s">
        <v>161</v>
      </c>
      <c r="C28" s="64">
        <v>137400000</v>
      </c>
      <c r="D28" s="64">
        <v>327971800</v>
      </c>
      <c r="E28" s="65">
        <f t="shared" si="25"/>
        <v>465371800</v>
      </c>
      <c r="F28" s="66">
        <v>0</v>
      </c>
      <c r="G28" s="67">
        <f t="shared" si="10"/>
        <v>465371800</v>
      </c>
      <c r="H28" s="68">
        <v>444770</v>
      </c>
      <c r="I28" s="65">
        <f t="shared" si="11"/>
        <v>465816570</v>
      </c>
      <c r="J28" s="69">
        <f t="shared" si="12"/>
        <v>3.356</v>
      </c>
      <c r="K28" s="70">
        <v>90.53</v>
      </c>
      <c r="L28" s="71"/>
      <c r="M28" s="72"/>
      <c r="N28" s="64">
        <v>0</v>
      </c>
      <c r="O28" s="73">
        <v>50615001</v>
      </c>
      <c r="P28" s="65">
        <f t="shared" si="13"/>
        <v>516431571</v>
      </c>
      <c r="Q28" s="74">
        <f>ROUND(P28*Q$60,2)+0.02</f>
        <v>0.02</v>
      </c>
      <c r="R28" s="74"/>
      <c r="S28" s="74"/>
      <c r="T28" s="75">
        <v>191.09</v>
      </c>
      <c r="U28" s="75">
        <v>0</v>
      </c>
      <c r="V28" s="76">
        <f t="shared" si="14"/>
        <v>-191.07</v>
      </c>
      <c r="W28" s="77"/>
      <c r="X28" s="78">
        <f t="shared" si="26"/>
        <v>-191.07</v>
      </c>
      <c r="Y28" s="79">
        <v>92577.46</v>
      </c>
      <c r="Z28" s="79">
        <v>27210.61</v>
      </c>
      <c r="AA28" s="79">
        <v>77449.99</v>
      </c>
      <c r="AB28" s="80">
        <v>4916976</v>
      </c>
      <c r="AC28" s="80">
        <v>0</v>
      </c>
      <c r="AD28" s="80">
        <v>0</v>
      </c>
      <c r="AE28" s="80">
        <v>10517879.21</v>
      </c>
      <c r="AF28" s="80">
        <v>0</v>
      </c>
      <c r="AG28" s="80">
        <v>0</v>
      </c>
      <c r="AH28" s="81">
        <f t="shared" si="2"/>
        <v>15631902.200000001</v>
      </c>
      <c r="AI28" s="82">
        <v>16140100</v>
      </c>
      <c r="AJ28" s="82">
        <v>0</v>
      </c>
      <c r="AK28" s="82">
        <v>14018800</v>
      </c>
      <c r="AL28" s="82">
        <v>9999400</v>
      </c>
      <c r="AM28" s="82">
        <v>186400</v>
      </c>
      <c r="AN28" s="82">
        <v>34487400</v>
      </c>
      <c r="AO28" s="83">
        <f t="shared" si="27"/>
        <v>74832100</v>
      </c>
      <c r="AP28" s="84">
        <v>2300000</v>
      </c>
      <c r="AQ28" s="84">
        <v>5425314.64</v>
      </c>
      <c r="AR28" s="84">
        <v>700000</v>
      </c>
      <c r="AS28" s="85">
        <f t="shared" si="28"/>
        <v>8425314.64</v>
      </c>
      <c r="AT28" s="82">
        <v>18500</v>
      </c>
      <c r="AU28" s="82">
        <v>46000</v>
      </c>
      <c r="AV28" s="82"/>
      <c r="AW28" s="82" t="s">
        <v>224</v>
      </c>
      <c r="AX28" s="82" t="s">
        <v>223</v>
      </c>
      <c r="AY28" s="82" t="s">
        <v>223</v>
      </c>
      <c r="AZ28" s="82"/>
      <c r="BA28" s="82"/>
      <c r="BB28" s="82"/>
      <c r="BC28" s="82"/>
      <c r="BD28" s="82" t="s">
        <v>266</v>
      </c>
      <c r="BE28" s="82"/>
      <c r="BF28" s="82" t="s">
        <v>225</v>
      </c>
      <c r="BG28" s="82" t="s">
        <v>225</v>
      </c>
      <c r="BH28" s="82" t="s">
        <v>225</v>
      </c>
      <c r="BI28" s="82" t="s">
        <v>225</v>
      </c>
      <c r="BJ28" s="82" t="s">
        <v>224</v>
      </c>
      <c r="BK28" s="82" t="s">
        <v>226</v>
      </c>
      <c r="BL28" s="86">
        <f t="shared" si="15"/>
        <v>0</v>
      </c>
      <c r="BM28" s="86"/>
      <c r="BN28" s="86"/>
      <c r="BO28" s="86"/>
      <c r="BP28" s="87"/>
      <c r="BQ28" s="77"/>
      <c r="BR28" s="77"/>
      <c r="BS28" s="88">
        <f t="shared" si="24"/>
        <v>0</v>
      </c>
      <c r="BT28" s="88">
        <f t="shared" si="16"/>
        <v>0.02</v>
      </c>
      <c r="BU28" s="88">
        <f t="shared" si="17"/>
        <v>0.006</v>
      </c>
      <c r="BV28" s="88">
        <f t="shared" si="18"/>
        <v>0.017</v>
      </c>
      <c r="BW28" s="88">
        <f t="shared" si="19"/>
        <v>1.056</v>
      </c>
      <c r="BX28" s="88">
        <f t="shared" si="5"/>
        <v>0</v>
      </c>
      <c r="BY28" s="88">
        <f t="shared" si="6"/>
        <v>0</v>
      </c>
      <c r="BZ28" s="88">
        <f t="shared" si="20"/>
        <v>2.258</v>
      </c>
      <c r="CA28" s="88">
        <f t="shared" si="21"/>
        <v>0</v>
      </c>
      <c r="CB28" s="88">
        <f t="shared" si="22"/>
        <v>0</v>
      </c>
      <c r="CC28" s="88">
        <f t="shared" si="7"/>
        <v>3.356</v>
      </c>
      <c r="CD28" s="89">
        <f t="shared" si="8"/>
        <v>90.53</v>
      </c>
      <c r="CE28" s="88">
        <f t="shared" si="9"/>
        <v>3.0269067729013805</v>
      </c>
      <c r="CF28" s="90"/>
      <c r="CG28" s="86"/>
      <c r="CH28" s="86"/>
      <c r="CI28" s="86"/>
      <c r="CJ28" s="91"/>
      <c r="CK28" s="92" t="s">
        <v>249</v>
      </c>
      <c r="CL28" s="93" t="s">
        <v>250</v>
      </c>
      <c r="CM28" s="94">
        <v>2236283600</v>
      </c>
      <c r="CN28" s="94">
        <v>1013968</v>
      </c>
      <c r="CO28" s="95">
        <f t="shared" si="23"/>
        <v>0.046</v>
      </c>
    </row>
    <row r="29" spans="1:93" s="96" customFormat="1" ht="17.25" customHeight="1">
      <c r="A29" s="62" t="s">
        <v>162</v>
      </c>
      <c r="B29" s="63" t="s">
        <v>163</v>
      </c>
      <c r="C29" s="64">
        <v>329357900</v>
      </c>
      <c r="D29" s="64">
        <v>349233900</v>
      </c>
      <c r="E29" s="65">
        <f t="shared" si="25"/>
        <v>678591800</v>
      </c>
      <c r="F29" s="66">
        <v>96500</v>
      </c>
      <c r="G29" s="67">
        <f t="shared" si="10"/>
        <v>678495300</v>
      </c>
      <c r="H29" s="68">
        <v>4089990</v>
      </c>
      <c r="I29" s="65">
        <f t="shared" si="11"/>
        <v>682585290</v>
      </c>
      <c r="J29" s="69">
        <f t="shared" si="12"/>
        <v>2.323</v>
      </c>
      <c r="K29" s="70">
        <v>100.14</v>
      </c>
      <c r="L29" s="71"/>
      <c r="M29" s="72"/>
      <c r="N29" s="64">
        <v>0</v>
      </c>
      <c r="O29" s="73">
        <v>2909494</v>
      </c>
      <c r="P29" s="65">
        <f t="shared" si="13"/>
        <v>685494784</v>
      </c>
      <c r="Q29" s="74">
        <f>ROUND(P29*Q$60,2)+0.02</f>
        <v>0.02</v>
      </c>
      <c r="R29" s="74"/>
      <c r="S29" s="74"/>
      <c r="T29" s="75">
        <v>3052.56</v>
      </c>
      <c r="U29" s="75">
        <v>0</v>
      </c>
      <c r="V29" s="76">
        <f t="shared" si="14"/>
        <v>-3052.54</v>
      </c>
      <c r="W29" s="77"/>
      <c r="X29" s="78">
        <f t="shared" si="26"/>
        <v>-3052.54</v>
      </c>
      <c r="Y29" s="79">
        <v>0</v>
      </c>
      <c r="Z29" s="79">
        <v>36008.56</v>
      </c>
      <c r="AA29" s="79">
        <v>102622.94</v>
      </c>
      <c r="AB29" s="80">
        <v>9332171</v>
      </c>
      <c r="AC29" s="80">
        <v>0</v>
      </c>
      <c r="AD29" s="80">
        <v>0</v>
      </c>
      <c r="AE29" s="80">
        <v>5987577.85</v>
      </c>
      <c r="AF29" s="80">
        <v>170646</v>
      </c>
      <c r="AG29" s="80">
        <v>226712</v>
      </c>
      <c r="AH29" s="81">
        <f t="shared" si="2"/>
        <v>15852685.81</v>
      </c>
      <c r="AI29" s="82">
        <v>22214000</v>
      </c>
      <c r="AJ29" s="82">
        <v>3718100</v>
      </c>
      <c r="AK29" s="82">
        <v>17472200</v>
      </c>
      <c r="AL29" s="82">
        <v>51106300</v>
      </c>
      <c r="AM29" s="82">
        <v>7472800</v>
      </c>
      <c r="AN29" s="82">
        <v>32088500</v>
      </c>
      <c r="AO29" s="83">
        <f t="shared" si="27"/>
        <v>134071900</v>
      </c>
      <c r="AP29" s="84">
        <v>396000</v>
      </c>
      <c r="AQ29" s="84">
        <v>2012296.32</v>
      </c>
      <c r="AR29" s="84">
        <v>620000</v>
      </c>
      <c r="AS29" s="85">
        <f t="shared" si="28"/>
        <v>3028296.3200000003</v>
      </c>
      <c r="AT29" s="82">
        <v>11000</v>
      </c>
      <c r="AU29" s="82">
        <v>32250</v>
      </c>
      <c r="AV29" s="82"/>
      <c r="AW29" s="82" t="s">
        <v>224</v>
      </c>
      <c r="AX29" s="82" t="s">
        <v>223</v>
      </c>
      <c r="AY29" s="82" t="s">
        <v>223</v>
      </c>
      <c r="AZ29" s="82"/>
      <c r="BA29" s="82"/>
      <c r="BB29" s="82"/>
      <c r="BC29" s="82"/>
      <c r="BD29" s="82" t="s">
        <v>266</v>
      </c>
      <c r="BE29" s="82"/>
      <c r="BF29" s="82">
        <v>96500</v>
      </c>
      <c r="BG29" s="82" t="s">
        <v>225</v>
      </c>
      <c r="BH29" s="82" t="s">
        <v>225</v>
      </c>
      <c r="BI29" s="82" t="s">
        <v>225</v>
      </c>
      <c r="BJ29" s="82" t="s">
        <v>224</v>
      </c>
      <c r="BK29" s="82" t="s">
        <v>226</v>
      </c>
      <c r="BL29" s="86">
        <f t="shared" si="15"/>
        <v>96500</v>
      </c>
      <c r="BM29" s="86"/>
      <c r="BN29" s="86"/>
      <c r="BO29" s="86"/>
      <c r="BP29" s="87"/>
      <c r="BQ29" s="77"/>
      <c r="BR29" s="77"/>
      <c r="BS29" s="88">
        <f t="shared" si="24"/>
        <v>0</v>
      </c>
      <c r="BT29" s="88">
        <f t="shared" si="16"/>
        <v>0</v>
      </c>
      <c r="BU29" s="88">
        <f>ROUNDUP(Z29/I29*100,3)</f>
        <v>0.006</v>
      </c>
      <c r="BV29" s="88">
        <f t="shared" si="18"/>
        <v>0.015</v>
      </c>
      <c r="BW29" s="88">
        <f t="shared" si="19"/>
        <v>1.367</v>
      </c>
      <c r="BX29" s="88">
        <f t="shared" si="5"/>
        <v>0</v>
      </c>
      <c r="BY29" s="88">
        <f t="shared" si="6"/>
        <v>0</v>
      </c>
      <c r="BZ29" s="88">
        <f t="shared" si="20"/>
        <v>0.877</v>
      </c>
      <c r="CA29" s="88">
        <f t="shared" si="21"/>
        <v>0.025</v>
      </c>
      <c r="CB29" s="88">
        <f t="shared" si="22"/>
        <v>0.033</v>
      </c>
      <c r="CC29" s="88">
        <f t="shared" si="7"/>
        <v>2.323</v>
      </c>
      <c r="CD29" s="89">
        <f t="shared" si="8"/>
        <v>100.14</v>
      </c>
      <c r="CE29" s="88">
        <f t="shared" si="9"/>
        <v>2.3125902895272796</v>
      </c>
      <c r="CF29" s="90"/>
      <c r="CG29" s="86"/>
      <c r="CH29" s="86"/>
      <c r="CI29" s="86"/>
      <c r="CJ29" s="91"/>
      <c r="CK29" s="92" t="s">
        <v>251</v>
      </c>
      <c r="CL29" s="93" t="s">
        <v>230</v>
      </c>
      <c r="CM29" s="94">
        <v>4890264950</v>
      </c>
      <c r="CN29" s="94">
        <v>3390300</v>
      </c>
      <c r="CO29" s="95">
        <f t="shared" si="23"/>
        <v>0.07</v>
      </c>
    </row>
    <row r="30" spans="1:93" s="96" customFormat="1" ht="17.25" customHeight="1">
      <c r="A30" s="62" t="s">
        <v>164</v>
      </c>
      <c r="B30" s="63" t="s">
        <v>165</v>
      </c>
      <c r="C30" s="64">
        <v>859191800</v>
      </c>
      <c r="D30" s="64">
        <v>769583300</v>
      </c>
      <c r="E30" s="65">
        <f t="shared" si="25"/>
        <v>1628775100</v>
      </c>
      <c r="F30" s="66">
        <v>0</v>
      </c>
      <c r="G30" s="67">
        <f t="shared" si="10"/>
        <v>1628775100</v>
      </c>
      <c r="H30" s="68">
        <v>1180677</v>
      </c>
      <c r="I30" s="65">
        <f t="shared" si="11"/>
        <v>1629955777</v>
      </c>
      <c r="J30" s="69">
        <f t="shared" si="12"/>
        <v>1.714</v>
      </c>
      <c r="K30" s="70">
        <v>96.8</v>
      </c>
      <c r="L30" s="71"/>
      <c r="M30" s="72"/>
      <c r="N30" s="64">
        <v>0</v>
      </c>
      <c r="O30" s="73">
        <v>56300563</v>
      </c>
      <c r="P30" s="65">
        <f t="shared" si="13"/>
        <v>1686256340</v>
      </c>
      <c r="Q30" s="74">
        <f>ROUND(P30*Q$60,2)+0.05</f>
        <v>0.05</v>
      </c>
      <c r="R30" s="74"/>
      <c r="S30" s="74"/>
      <c r="T30" s="75">
        <v>0</v>
      </c>
      <c r="U30" s="75">
        <v>5418.43</v>
      </c>
      <c r="V30" s="76">
        <f t="shared" si="14"/>
        <v>5418.4800000000005</v>
      </c>
      <c r="W30" s="77"/>
      <c r="X30" s="78">
        <f t="shared" si="26"/>
        <v>5418.4800000000005</v>
      </c>
      <c r="Y30" s="79">
        <v>302646.46</v>
      </c>
      <c r="Z30" s="79">
        <v>0</v>
      </c>
      <c r="AA30" s="79">
        <v>253237.93</v>
      </c>
      <c r="AB30" s="80">
        <v>13047024</v>
      </c>
      <c r="AC30" s="80">
        <v>7161808</v>
      </c>
      <c r="AD30" s="80">
        <v>0</v>
      </c>
      <c r="AE30" s="80">
        <v>6991038.3</v>
      </c>
      <c r="AF30" s="80">
        <v>163398.34</v>
      </c>
      <c r="AG30" s="80">
        <v>0</v>
      </c>
      <c r="AH30" s="81">
        <f t="shared" si="2"/>
        <v>27924571.509999998</v>
      </c>
      <c r="AI30" s="82">
        <v>55622600</v>
      </c>
      <c r="AJ30" s="82">
        <v>0</v>
      </c>
      <c r="AK30" s="82">
        <v>25259300</v>
      </c>
      <c r="AL30" s="82">
        <v>8460000</v>
      </c>
      <c r="AM30" s="82">
        <v>2979100</v>
      </c>
      <c r="AN30" s="82">
        <v>8238100</v>
      </c>
      <c r="AO30" s="83">
        <f t="shared" si="27"/>
        <v>100559100</v>
      </c>
      <c r="AP30" s="84">
        <v>2010000</v>
      </c>
      <c r="AQ30" s="84">
        <v>1198575.58</v>
      </c>
      <c r="AR30" s="84">
        <v>196646.42</v>
      </c>
      <c r="AS30" s="85">
        <f t="shared" si="28"/>
        <v>3405222</v>
      </c>
      <c r="AT30" s="82">
        <v>500</v>
      </c>
      <c r="AU30" s="82">
        <v>49250</v>
      </c>
      <c r="AV30" s="82"/>
      <c r="AW30" s="82" t="s">
        <v>224</v>
      </c>
      <c r="AX30" s="82" t="s">
        <v>223</v>
      </c>
      <c r="AY30" s="82" t="s">
        <v>223</v>
      </c>
      <c r="AZ30" s="82"/>
      <c r="BA30" s="82"/>
      <c r="BB30" s="82"/>
      <c r="BC30" s="82"/>
      <c r="BD30" s="82" t="s">
        <v>266</v>
      </c>
      <c r="BE30" s="82"/>
      <c r="BF30" s="82" t="s">
        <v>225</v>
      </c>
      <c r="BG30" s="82" t="s">
        <v>225</v>
      </c>
      <c r="BH30" s="82" t="s">
        <v>225</v>
      </c>
      <c r="BI30" s="82" t="s">
        <v>225</v>
      </c>
      <c r="BJ30" s="82" t="s">
        <v>224</v>
      </c>
      <c r="BK30" s="82"/>
      <c r="BL30" s="86">
        <f t="shared" si="15"/>
        <v>0</v>
      </c>
      <c r="BM30" s="86"/>
      <c r="BN30" s="86"/>
      <c r="BO30" s="86"/>
      <c r="BP30" s="87"/>
      <c r="BQ30" s="77"/>
      <c r="BR30" s="77"/>
      <c r="BS30" s="88">
        <f t="shared" si="24"/>
        <v>0</v>
      </c>
      <c r="BT30" s="88">
        <f t="shared" si="16"/>
        <v>0.019</v>
      </c>
      <c r="BU30" s="88">
        <f t="shared" si="17"/>
        <v>0</v>
      </c>
      <c r="BV30" s="88">
        <f t="shared" si="18"/>
        <v>0.016</v>
      </c>
      <c r="BW30" s="88">
        <f>ROUNDUP(AB30/I30*100,3)</f>
        <v>0.801</v>
      </c>
      <c r="BX30" s="88">
        <f t="shared" si="5"/>
        <v>0.439</v>
      </c>
      <c r="BY30" s="88">
        <f t="shared" si="6"/>
        <v>0</v>
      </c>
      <c r="BZ30" s="88">
        <f t="shared" si="20"/>
        <v>0.429</v>
      </c>
      <c r="CA30" s="88">
        <f t="shared" si="21"/>
        <v>0.01</v>
      </c>
      <c r="CB30" s="88">
        <f t="shared" si="22"/>
        <v>0</v>
      </c>
      <c r="CC30" s="88">
        <f t="shared" si="7"/>
        <v>1.714</v>
      </c>
      <c r="CD30" s="89">
        <f t="shared" si="8"/>
        <v>96.8</v>
      </c>
      <c r="CE30" s="88">
        <f t="shared" si="9"/>
        <v>1.65600987510594</v>
      </c>
      <c r="CF30" s="90"/>
      <c r="CG30" s="86"/>
      <c r="CH30" s="86"/>
      <c r="CI30" s="86"/>
      <c r="CJ30" s="91"/>
      <c r="CK30" s="92" t="s">
        <v>252</v>
      </c>
      <c r="CL30" s="93" t="s">
        <v>228</v>
      </c>
      <c r="CM30" s="94">
        <v>1845888012</v>
      </c>
      <c r="CN30" s="94">
        <v>1737100</v>
      </c>
      <c r="CO30" s="95">
        <f>ROUNDUP(CN30/CM30*100,3)-0.001</f>
        <v>0.094</v>
      </c>
    </row>
    <row r="31" spans="1:93" s="96" customFormat="1" ht="17.25" customHeight="1">
      <c r="A31" s="62" t="s">
        <v>166</v>
      </c>
      <c r="B31" s="63" t="s">
        <v>167</v>
      </c>
      <c r="C31" s="64">
        <v>106110500</v>
      </c>
      <c r="D31" s="64">
        <v>42024300</v>
      </c>
      <c r="E31" s="65">
        <f>C31+D31</f>
        <v>148134800</v>
      </c>
      <c r="F31" s="66">
        <v>0</v>
      </c>
      <c r="G31" s="67">
        <f t="shared" si="10"/>
        <v>148134800</v>
      </c>
      <c r="H31" s="68">
        <v>66177</v>
      </c>
      <c r="I31" s="65">
        <f t="shared" si="11"/>
        <v>148200977</v>
      </c>
      <c r="J31" s="69">
        <f t="shared" si="12"/>
        <v>1.882</v>
      </c>
      <c r="K31" s="70">
        <v>99</v>
      </c>
      <c r="L31" s="71"/>
      <c r="M31" s="72"/>
      <c r="N31" s="64">
        <v>0</v>
      </c>
      <c r="O31" s="73">
        <v>1702054</v>
      </c>
      <c r="P31" s="65">
        <f t="shared" si="13"/>
        <v>149903031</v>
      </c>
      <c r="Q31" s="74">
        <f>ROUND(P31*Q$60,2)+0.01</f>
        <v>0.01</v>
      </c>
      <c r="R31" s="74"/>
      <c r="S31" s="74"/>
      <c r="T31" s="75">
        <v>2812.28</v>
      </c>
      <c r="U31" s="75">
        <v>0</v>
      </c>
      <c r="V31" s="76">
        <f t="shared" si="14"/>
        <v>-2812.27</v>
      </c>
      <c r="W31" s="77"/>
      <c r="X31" s="78">
        <f>V31-W31</f>
        <v>-2812.27</v>
      </c>
      <c r="Y31" s="79">
        <v>26697.7</v>
      </c>
      <c r="Z31" s="79">
        <v>0</v>
      </c>
      <c r="AA31" s="79">
        <v>22328.94</v>
      </c>
      <c r="AB31" s="80">
        <v>0</v>
      </c>
      <c r="AC31" s="80">
        <v>2148418</v>
      </c>
      <c r="AD31" s="80">
        <v>0</v>
      </c>
      <c r="AE31" s="80">
        <v>586747.9</v>
      </c>
      <c r="AF31" s="80">
        <v>7710</v>
      </c>
      <c r="AG31" s="80">
        <v>0</v>
      </c>
      <c r="AH31" s="81">
        <f t="shared" si="2"/>
        <v>2789090.27</v>
      </c>
      <c r="AI31" s="82">
        <v>0</v>
      </c>
      <c r="AJ31" s="82">
        <v>0</v>
      </c>
      <c r="AK31" s="82">
        <v>2238300</v>
      </c>
      <c r="AL31" s="82">
        <v>0</v>
      </c>
      <c r="AM31" s="82">
        <v>0</v>
      </c>
      <c r="AN31" s="82">
        <v>0</v>
      </c>
      <c r="AO31" s="83">
        <f>SUM(AI31:AN31)</f>
        <v>2238300</v>
      </c>
      <c r="AP31" s="84">
        <v>216000</v>
      </c>
      <c r="AQ31" s="84">
        <v>746689.16</v>
      </c>
      <c r="AR31" s="84">
        <v>75000</v>
      </c>
      <c r="AS31" s="85">
        <f>SUM(AP31:AR31)</f>
        <v>1037689.16</v>
      </c>
      <c r="AT31" s="82">
        <v>0</v>
      </c>
      <c r="AU31" s="82">
        <v>2250</v>
      </c>
      <c r="AV31" s="82"/>
      <c r="AW31" s="82" t="s">
        <v>224</v>
      </c>
      <c r="AX31" s="82" t="s">
        <v>223</v>
      </c>
      <c r="AY31" s="82" t="s">
        <v>223</v>
      </c>
      <c r="AZ31" s="82"/>
      <c r="BA31" s="82"/>
      <c r="BB31" s="82"/>
      <c r="BC31" s="82"/>
      <c r="BD31" s="82" t="s">
        <v>266</v>
      </c>
      <c r="BE31" s="82"/>
      <c r="BF31" s="82" t="s">
        <v>225</v>
      </c>
      <c r="BG31" s="82" t="s">
        <v>225</v>
      </c>
      <c r="BH31" s="82" t="s">
        <v>225</v>
      </c>
      <c r="BI31" s="82" t="s">
        <v>225</v>
      </c>
      <c r="BJ31" s="82" t="s">
        <v>224</v>
      </c>
      <c r="BK31" s="82" t="s">
        <v>226</v>
      </c>
      <c r="BL31" s="86">
        <f t="shared" si="15"/>
        <v>0</v>
      </c>
      <c r="BM31" s="86"/>
      <c r="BN31" s="86"/>
      <c r="BO31" s="86"/>
      <c r="BP31" s="87"/>
      <c r="BQ31" s="77"/>
      <c r="BR31" s="77"/>
      <c r="BS31" s="88">
        <f t="shared" si="24"/>
        <v>-0.002</v>
      </c>
      <c r="BT31" s="88">
        <f t="shared" si="16"/>
        <v>0.018</v>
      </c>
      <c r="BU31" s="88">
        <f t="shared" si="17"/>
        <v>0</v>
      </c>
      <c r="BV31" s="88">
        <f t="shared" si="18"/>
        <v>0.015</v>
      </c>
      <c r="BW31" s="88">
        <f t="shared" si="19"/>
        <v>0</v>
      </c>
      <c r="BX31" s="88">
        <f t="shared" si="5"/>
        <v>1.45</v>
      </c>
      <c r="BY31" s="88">
        <f t="shared" si="6"/>
        <v>0</v>
      </c>
      <c r="BZ31" s="88">
        <f t="shared" si="20"/>
        <v>0.396</v>
      </c>
      <c r="CA31" s="88">
        <f>ROUNDUP(AF31/I31*100,3)</f>
        <v>0.006</v>
      </c>
      <c r="CB31" s="88">
        <f t="shared" si="22"/>
        <v>0</v>
      </c>
      <c r="CC31" s="88">
        <f t="shared" si="7"/>
        <v>1.882</v>
      </c>
      <c r="CD31" s="89">
        <f t="shared" si="8"/>
        <v>99</v>
      </c>
      <c r="CE31" s="88">
        <f t="shared" si="9"/>
        <v>1.8605963144267577</v>
      </c>
      <c r="CF31" s="90"/>
      <c r="CG31" s="86"/>
      <c r="CH31" s="86"/>
      <c r="CI31" s="86"/>
      <c r="CJ31" s="91"/>
      <c r="CK31" s="92" t="s">
        <v>253</v>
      </c>
      <c r="CL31" s="93" t="s">
        <v>228</v>
      </c>
      <c r="CM31" s="94">
        <v>2591509510</v>
      </c>
      <c r="CN31" s="94">
        <v>2886244</v>
      </c>
      <c r="CO31" s="95">
        <f t="shared" si="23"/>
        <v>0.112</v>
      </c>
    </row>
    <row r="32" spans="1:93" s="96" customFormat="1" ht="17.25" customHeight="1">
      <c r="A32" s="62" t="s">
        <v>168</v>
      </c>
      <c r="B32" s="63" t="s">
        <v>169</v>
      </c>
      <c r="C32" s="64">
        <v>2283639300</v>
      </c>
      <c r="D32" s="64">
        <v>2193524300</v>
      </c>
      <c r="E32" s="65">
        <f>C32+D32</f>
        <v>4477163600</v>
      </c>
      <c r="F32" s="66">
        <v>1015000</v>
      </c>
      <c r="G32" s="67">
        <f t="shared" si="10"/>
        <v>4476148600</v>
      </c>
      <c r="H32" s="68">
        <v>5195353</v>
      </c>
      <c r="I32" s="65">
        <f t="shared" si="11"/>
        <v>4481343953</v>
      </c>
      <c r="J32" s="69">
        <f t="shared" si="12"/>
        <v>1.755</v>
      </c>
      <c r="K32" s="70">
        <v>98.52</v>
      </c>
      <c r="L32" s="71"/>
      <c r="M32" s="72"/>
      <c r="N32" s="64">
        <v>0</v>
      </c>
      <c r="O32" s="73">
        <v>80636559</v>
      </c>
      <c r="P32" s="65">
        <f t="shared" si="13"/>
        <v>4561980512</v>
      </c>
      <c r="Q32" s="74">
        <f>ROUND(P32*Q$60,2)+0.14</f>
        <v>0.14</v>
      </c>
      <c r="R32" s="74"/>
      <c r="S32" s="74"/>
      <c r="T32" s="75">
        <v>13724.23</v>
      </c>
      <c r="U32" s="75">
        <v>0</v>
      </c>
      <c r="V32" s="76">
        <f t="shared" si="14"/>
        <v>-13724.09</v>
      </c>
      <c r="W32" s="77"/>
      <c r="X32" s="78">
        <f>V32-W32</f>
        <v>-13724.09</v>
      </c>
      <c r="Y32" s="79">
        <v>0</v>
      </c>
      <c r="Z32" s="79">
        <v>0</v>
      </c>
      <c r="AA32" s="79">
        <v>683448.15</v>
      </c>
      <c r="AB32" s="80">
        <v>39264076</v>
      </c>
      <c r="AC32" s="80">
        <v>0</v>
      </c>
      <c r="AD32" s="80">
        <v>0</v>
      </c>
      <c r="AE32" s="80">
        <v>37183112.01</v>
      </c>
      <c r="AF32" s="80">
        <v>0</v>
      </c>
      <c r="AG32" s="80">
        <v>1510809.29</v>
      </c>
      <c r="AH32" s="81">
        <f t="shared" si="2"/>
        <v>78627721.36</v>
      </c>
      <c r="AI32" s="82">
        <v>138082400</v>
      </c>
      <c r="AJ32" s="82">
        <v>19700800</v>
      </c>
      <c r="AK32" s="82">
        <v>232340600</v>
      </c>
      <c r="AL32" s="82">
        <v>132433600</v>
      </c>
      <c r="AM32" s="82">
        <v>0</v>
      </c>
      <c r="AN32" s="82">
        <v>267790200</v>
      </c>
      <c r="AO32" s="83">
        <f>SUM(AI32:AN32)</f>
        <v>790347600</v>
      </c>
      <c r="AP32" s="84">
        <v>2900000</v>
      </c>
      <c r="AQ32" s="84">
        <v>12510822.98</v>
      </c>
      <c r="AR32" s="84">
        <v>1650000</v>
      </c>
      <c r="AS32" s="85">
        <f>SUM(AP32:AR32)</f>
        <v>17060822.98</v>
      </c>
      <c r="AT32" s="82">
        <v>30000</v>
      </c>
      <c r="AU32" s="82">
        <v>101500</v>
      </c>
      <c r="AV32" s="82"/>
      <c r="AW32" s="82" t="s">
        <v>224</v>
      </c>
      <c r="AX32" s="82" t="s">
        <v>223</v>
      </c>
      <c r="AY32" s="82" t="s">
        <v>223</v>
      </c>
      <c r="AZ32" s="82"/>
      <c r="BA32" s="82"/>
      <c r="BB32" s="82"/>
      <c r="BC32" s="82"/>
      <c r="BD32" s="82" t="s">
        <v>266</v>
      </c>
      <c r="BE32" s="82"/>
      <c r="BF32" s="82" t="s">
        <v>225</v>
      </c>
      <c r="BG32" s="82">
        <v>1015000</v>
      </c>
      <c r="BH32" s="82" t="s">
        <v>225</v>
      </c>
      <c r="BI32" s="82" t="s">
        <v>225</v>
      </c>
      <c r="BJ32" s="82" t="s">
        <v>224</v>
      </c>
      <c r="BK32" s="82" t="s">
        <v>226</v>
      </c>
      <c r="BL32" s="86">
        <f t="shared" si="15"/>
        <v>1015000</v>
      </c>
      <c r="BM32" s="86"/>
      <c r="BN32" s="86"/>
      <c r="BO32" s="86"/>
      <c r="BP32" s="87"/>
      <c r="BQ32" s="77"/>
      <c r="BR32" s="77"/>
      <c r="BS32" s="88">
        <f>ROUNDUP(X32/I32*100,3)</f>
        <v>-0.001</v>
      </c>
      <c r="BT32" s="88">
        <f t="shared" si="16"/>
        <v>0</v>
      </c>
      <c r="BU32" s="88">
        <f t="shared" si="17"/>
        <v>0</v>
      </c>
      <c r="BV32" s="88">
        <f t="shared" si="18"/>
        <v>0.015</v>
      </c>
      <c r="BW32" s="88">
        <f t="shared" si="19"/>
        <v>0.876</v>
      </c>
      <c r="BX32" s="88">
        <f t="shared" si="5"/>
        <v>0</v>
      </c>
      <c r="BY32" s="88">
        <f t="shared" si="6"/>
        <v>0</v>
      </c>
      <c r="BZ32" s="88">
        <f t="shared" si="20"/>
        <v>0.83</v>
      </c>
      <c r="CA32" s="88">
        <f t="shared" si="21"/>
        <v>0</v>
      </c>
      <c r="CB32" s="88">
        <f t="shared" si="22"/>
        <v>0.034</v>
      </c>
      <c r="CC32" s="88">
        <f t="shared" si="7"/>
        <v>1.755</v>
      </c>
      <c r="CD32" s="89">
        <f t="shared" si="8"/>
        <v>98.52</v>
      </c>
      <c r="CE32" s="88">
        <f t="shared" si="9"/>
        <v>1.723543560810371</v>
      </c>
      <c r="CF32" s="90"/>
      <c r="CG32" s="86"/>
      <c r="CH32" s="86"/>
      <c r="CI32" s="86"/>
      <c r="CJ32" s="91"/>
      <c r="CK32" s="92" t="s">
        <v>253</v>
      </c>
      <c r="CL32" s="93" t="s">
        <v>229</v>
      </c>
      <c r="CM32" s="94">
        <v>945746500</v>
      </c>
      <c r="CN32" s="94">
        <v>724082</v>
      </c>
      <c r="CO32" s="95">
        <f t="shared" si="23"/>
        <v>0.077</v>
      </c>
    </row>
    <row r="33" spans="1:93" s="96" customFormat="1" ht="17.25" customHeight="1">
      <c r="A33" s="62" t="s">
        <v>170</v>
      </c>
      <c r="B33" s="63" t="s">
        <v>171</v>
      </c>
      <c r="C33" s="64">
        <v>1992508960</v>
      </c>
      <c r="D33" s="64">
        <v>4308857200</v>
      </c>
      <c r="E33" s="65">
        <f aca="true" t="shared" si="29" ref="E33:E48">C33+D33</f>
        <v>6301366160</v>
      </c>
      <c r="F33" s="66">
        <v>0</v>
      </c>
      <c r="G33" s="67">
        <f t="shared" si="10"/>
        <v>6301366160</v>
      </c>
      <c r="H33" s="68">
        <v>0</v>
      </c>
      <c r="I33" s="65">
        <f t="shared" si="11"/>
        <v>6301366160</v>
      </c>
      <c r="J33" s="69">
        <f t="shared" si="12"/>
        <v>1.738</v>
      </c>
      <c r="K33" s="70">
        <v>98.26</v>
      </c>
      <c r="L33" s="71"/>
      <c r="M33" s="72"/>
      <c r="N33" s="64">
        <v>0</v>
      </c>
      <c r="O33" s="73">
        <v>117133531</v>
      </c>
      <c r="P33" s="65">
        <f t="shared" si="13"/>
        <v>6418499691</v>
      </c>
      <c r="Q33" s="74">
        <f>ROUND(P33*Q$60,2)+0.2</f>
        <v>0.2</v>
      </c>
      <c r="R33" s="74"/>
      <c r="S33" s="74"/>
      <c r="T33" s="75">
        <v>0</v>
      </c>
      <c r="U33" s="75">
        <v>6075.85</v>
      </c>
      <c r="V33" s="76">
        <f t="shared" si="14"/>
        <v>6076.05</v>
      </c>
      <c r="W33" s="77"/>
      <c r="X33" s="78">
        <f aca="true" t="shared" si="30" ref="X33:X48">V33-W33</f>
        <v>6076.05</v>
      </c>
      <c r="Y33" s="79">
        <v>1151067.18</v>
      </c>
      <c r="Z33" s="79">
        <v>0</v>
      </c>
      <c r="AA33" s="79">
        <v>963099.2</v>
      </c>
      <c r="AB33" s="80">
        <v>58772613</v>
      </c>
      <c r="AC33" s="80">
        <v>26061624</v>
      </c>
      <c r="AD33" s="80">
        <v>0</v>
      </c>
      <c r="AE33" s="80">
        <v>21294001.73</v>
      </c>
      <c r="AF33" s="80">
        <v>1262747.66</v>
      </c>
      <c r="AG33" s="80">
        <v>0</v>
      </c>
      <c r="AH33" s="81">
        <f t="shared" si="2"/>
        <v>109511228.82000001</v>
      </c>
      <c r="AI33" s="82">
        <v>109648000</v>
      </c>
      <c r="AJ33" s="82">
        <v>0</v>
      </c>
      <c r="AK33" s="82">
        <v>123584100</v>
      </c>
      <c r="AL33" s="82">
        <v>23213700</v>
      </c>
      <c r="AM33" s="82">
        <v>3689000</v>
      </c>
      <c r="AN33" s="82">
        <v>49311700</v>
      </c>
      <c r="AO33" s="83">
        <f aca="true" t="shared" si="31" ref="AO33:AO48">SUM(AI33:AN33)</f>
        <v>309446500</v>
      </c>
      <c r="AP33" s="84">
        <v>3825000</v>
      </c>
      <c r="AQ33" s="84">
        <v>6987757.82</v>
      </c>
      <c r="AR33" s="84">
        <v>675000</v>
      </c>
      <c r="AS33" s="85">
        <f aca="true" t="shared" si="32" ref="AS33:AS48">SUM(AP33:AR33)</f>
        <v>11487757.82</v>
      </c>
      <c r="AT33" s="82">
        <v>45250</v>
      </c>
      <c r="AU33" s="82">
        <v>174250</v>
      </c>
      <c r="AV33" s="82"/>
      <c r="AW33" s="82" t="s">
        <v>224</v>
      </c>
      <c r="AX33" s="82" t="s">
        <v>223</v>
      </c>
      <c r="AY33" s="82" t="s">
        <v>223</v>
      </c>
      <c r="AZ33" s="82"/>
      <c r="BA33" s="82"/>
      <c r="BB33" s="82"/>
      <c r="BC33" s="82"/>
      <c r="BD33" s="82" t="s">
        <v>266</v>
      </c>
      <c r="BE33" s="82"/>
      <c r="BF33" s="82"/>
      <c r="BG33" s="82" t="s">
        <v>225</v>
      </c>
      <c r="BH33" s="82" t="s">
        <v>225</v>
      </c>
      <c r="BI33" s="82" t="s">
        <v>225</v>
      </c>
      <c r="BJ33" s="82" t="s">
        <v>224</v>
      </c>
      <c r="BK33" s="82"/>
      <c r="BL33" s="86">
        <f t="shared" si="15"/>
        <v>0</v>
      </c>
      <c r="BM33" s="86"/>
      <c r="BN33" s="86"/>
      <c r="BO33" s="86"/>
      <c r="BP33" s="87"/>
      <c r="BQ33" s="77"/>
      <c r="BR33" s="77"/>
      <c r="BS33" s="88">
        <f t="shared" si="24"/>
        <v>0</v>
      </c>
      <c r="BT33" s="88">
        <f t="shared" si="16"/>
        <v>0.018</v>
      </c>
      <c r="BU33" s="88">
        <f t="shared" si="17"/>
        <v>0</v>
      </c>
      <c r="BV33" s="88">
        <f t="shared" si="18"/>
        <v>0.015</v>
      </c>
      <c r="BW33" s="88">
        <f t="shared" si="19"/>
        <v>0.933</v>
      </c>
      <c r="BX33" s="88">
        <f t="shared" si="5"/>
        <v>0.414</v>
      </c>
      <c r="BY33" s="88">
        <f t="shared" si="6"/>
        <v>0</v>
      </c>
      <c r="BZ33" s="88">
        <f t="shared" si="20"/>
        <v>0.338</v>
      </c>
      <c r="CA33" s="88">
        <f t="shared" si="21"/>
        <v>0.02</v>
      </c>
      <c r="CB33" s="88">
        <f t="shared" si="22"/>
        <v>0</v>
      </c>
      <c r="CC33" s="88">
        <f t="shared" si="7"/>
        <v>1.738</v>
      </c>
      <c r="CD33" s="89">
        <f t="shared" si="8"/>
        <v>98.26</v>
      </c>
      <c r="CE33" s="88">
        <f t="shared" si="9"/>
        <v>1.706181102938375</v>
      </c>
      <c r="CF33" s="90"/>
      <c r="CG33" s="86"/>
      <c r="CH33" s="86"/>
      <c r="CI33" s="86"/>
      <c r="CJ33" s="91"/>
      <c r="CK33" s="92" t="s">
        <v>254</v>
      </c>
      <c r="CL33" s="93" t="s">
        <v>228</v>
      </c>
      <c r="CM33" s="94">
        <v>2829862541</v>
      </c>
      <c r="CN33" s="94">
        <v>1669021</v>
      </c>
      <c r="CO33" s="95">
        <f t="shared" si="23"/>
        <v>0.059000000000000004</v>
      </c>
    </row>
    <row r="34" spans="1:93" s="96" customFormat="1" ht="17.25" customHeight="1">
      <c r="A34" s="62" t="s">
        <v>172</v>
      </c>
      <c r="B34" s="63" t="s">
        <v>173</v>
      </c>
      <c r="C34" s="64">
        <v>1243565400</v>
      </c>
      <c r="D34" s="64">
        <v>724461475</v>
      </c>
      <c r="E34" s="65">
        <f t="shared" si="29"/>
        <v>1968026875</v>
      </c>
      <c r="F34" s="66">
        <v>0</v>
      </c>
      <c r="G34" s="67">
        <f t="shared" si="10"/>
        <v>1968026875</v>
      </c>
      <c r="H34" s="68">
        <v>0</v>
      </c>
      <c r="I34" s="65">
        <f t="shared" si="11"/>
        <v>1968026875</v>
      </c>
      <c r="J34" s="69">
        <f t="shared" si="12"/>
        <v>1.1269999999999998</v>
      </c>
      <c r="K34" s="70">
        <v>98.93</v>
      </c>
      <c r="L34" s="71"/>
      <c r="M34" s="72"/>
      <c r="N34" s="64">
        <v>0</v>
      </c>
      <c r="O34" s="73">
        <v>24558954</v>
      </c>
      <c r="P34" s="65">
        <f t="shared" si="13"/>
        <v>1992585829</v>
      </c>
      <c r="Q34" s="74">
        <f>ROUND(P34*Q$60,2)+0.06</f>
        <v>0.06</v>
      </c>
      <c r="R34" s="74"/>
      <c r="S34" s="74"/>
      <c r="T34" s="75">
        <v>0</v>
      </c>
      <c r="U34" s="75">
        <v>7555.85</v>
      </c>
      <c r="V34" s="76">
        <f t="shared" si="14"/>
        <v>7555.910000000001</v>
      </c>
      <c r="W34" s="77"/>
      <c r="X34" s="78">
        <f t="shared" si="30"/>
        <v>7555.910000000001</v>
      </c>
      <c r="Y34" s="79">
        <v>357674.47</v>
      </c>
      <c r="Z34" s="79">
        <v>105004.67</v>
      </c>
      <c r="AA34" s="79">
        <v>299285.9</v>
      </c>
      <c r="AB34" s="80">
        <v>14819969</v>
      </c>
      <c r="AC34" s="80">
        <v>0</v>
      </c>
      <c r="AD34" s="80">
        <v>0</v>
      </c>
      <c r="AE34" s="80">
        <v>6481042.88</v>
      </c>
      <c r="AF34" s="80">
        <v>98401.34</v>
      </c>
      <c r="AG34" s="80">
        <v>0</v>
      </c>
      <c r="AH34" s="81">
        <f t="shared" si="2"/>
        <v>22168934.169999998</v>
      </c>
      <c r="AI34" s="82">
        <v>25679800</v>
      </c>
      <c r="AJ34" s="82">
        <v>5501400</v>
      </c>
      <c r="AK34" s="82">
        <v>67133100</v>
      </c>
      <c r="AL34" s="82">
        <v>14623900</v>
      </c>
      <c r="AM34" s="82">
        <v>2658300</v>
      </c>
      <c r="AN34" s="82">
        <v>21331900</v>
      </c>
      <c r="AO34" s="83">
        <f t="shared" si="31"/>
        <v>136928400</v>
      </c>
      <c r="AP34" s="84">
        <v>1150000</v>
      </c>
      <c r="AQ34" s="84">
        <v>1859510.1</v>
      </c>
      <c r="AR34" s="84">
        <v>400000</v>
      </c>
      <c r="AS34" s="85">
        <f t="shared" si="32"/>
        <v>3409510.1</v>
      </c>
      <c r="AT34" s="82">
        <v>4000</v>
      </c>
      <c r="AU34" s="82">
        <v>59500</v>
      </c>
      <c r="AV34" s="82"/>
      <c r="AW34" s="82" t="s">
        <v>224</v>
      </c>
      <c r="AX34" s="82" t="s">
        <v>223</v>
      </c>
      <c r="AY34" s="82" t="s">
        <v>223</v>
      </c>
      <c r="AZ34" s="82"/>
      <c r="BA34" s="82"/>
      <c r="BB34" s="82"/>
      <c r="BC34" s="82"/>
      <c r="BD34" s="82" t="s">
        <v>266</v>
      </c>
      <c r="BE34" s="82"/>
      <c r="BF34" s="82" t="s">
        <v>225</v>
      </c>
      <c r="BG34" s="82" t="s">
        <v>225</v>
      </c>
      <c r="BH34" s="82" t="s">
        <v>225</v>
      </c>
      <c r="BI34" s="82" t="s">
        <v>225</v>
      </c>
      <c r="BJ34" s="82" t="s">
        <v>224</v>
      </c>
      <c r="BK34" s="82"/>
      <c r="BL34" s="86">
        <f t="shared" si="15"/>
        <v>0</v>
      </c>
      <c r="BM34" s="86"/>
      <c r="BN34" s="86"/>
      <c r="BO34" s="86"/>
      <c r="BP34" s="87"/>
      <c r="BQ34" s="77"/>
      <c r="BR34" s="77"/>
      <c r="BS34" s="88">
        <f t="shared" si="24"/>
        <v>0</v>
      </c>
      <c r="BT34" s="88">
        <f t="shared" si="16"/>
        <v>0.018</v>
      </c>
      <c r="BU34" s="88">
        <f>ROUNDUP(Z34/I34*100,3)</f>
        <v>0.006</v>
      </c>
      <c r="BV34" s="88">
        <f t="shared" si="18"/>
        <v>0.015</v>
      </c>
      <c r="BW34" s="88">
        <f t="shared" si="19"/>
        <v>0.753</v>
      </c>
      <c r="BX34" s="88">
        <f t="shared" si="5"/>
        <v>0</v>
      </c>
      <c r="BY34" s="88">
        <f t="shared" si="6"/>
        <v>0</v>
      </c>
      <c r="BZ34" s="88">
        <f t="shared" si="20"/>
        <v>0.329</v>
      </c>
      <c r="CA34" s="88">
        <f t="shared" si="21"/>
        <v>0.005</v>
      </c>
      <c r="CB34" s="88">
        <f t="shared" si="22"/>
        <v>0</v>
      </c>
      <c r="CC34" s="88">
        <f t="shared" si="7"/>
        <v>1.1269999999999998</v>
      </c>
      <c r="CD34" s="89">
        <f t="shared" si="8"/>
        <v>98.93</v>
      </c>
      <c r="CE34" s="88">
        <f t="shared" si="9"/>
        <v>1.1125711047099893</v>
      </c>
      <c r="CF34" s="90"/>
      <c r="CG34" s="86"/>
      <c r="CH34" s="86"/>
      <c r="CI34" s="86"/>
      <c r="CJ34" s="91"/>
      <c r="CK34" s="92" t="s">
        <v>254</v>
      </c>
      <c r="CL34" s="93" t="s">
        <v>229</v>
      </c>
      <c r="CM34" s="94">
        <v>1390492013</v>
      </c>
      <c r="CN34" s="94">
        <v>1431325</v>
      </c>
      <c r="CO34" s="95">
        <f t="shared" si="23"/>
        <v>0.103</v>
      </c>
    </row>
    <row r="35" spans="1:93" s="96" customFormat="1" ht="17.25" customHeight="1">
      <c r="A35" s="62" t="s">
        <v>174</v>
      </c>
      <c r="B35" s="63" t="s">
        <v>175</v>
      </c>
      <c r="C35" s="64">
        <v>2898064900</v>
      </c>
      <c r="D35" s="64">
        <v>4266404800</v>
      </c>
      <c r="E35" s="65">
        <f t="shared" si="29"/>
        <v>7164469700</v>
      </c>
      <c r="F35" s="66">
        <v>0</v>
      </c>
      <c r="G35" s="67">
        <f t="shared" si="10"/>
        <v>7164469700</v>
      </c>
      <c r="H35" s="68">
        <v>0</v>
      </c>
      <c r="I35" s="65">
        <f t="shared" si="11"/>
        <v>7164469700</v>
      </c>
      <c r="J35" s="69">
        <f t="shared" si="12"/>
        <v>1.906</v>
      </c>
      <c r="K35" s="70">
        <v>97.06</v>
      </c>
      <c r="L35" s="71"/>
      <c r="M35" s="72"/>
      <c r="N35" s="64">
        <v>0</v>
      </c>
      <c r="O35" s="73">
        <v>221643737</v>
      </c>
      <c r="P35" s="65">
        <f t="shared" si="13"/>
        <v>7386113437</v>
      </c>
      <c r="Q35" s="74">
        <f>ROUND(P35*Q$60,2)+0.22</f>
        <v>0.22</v>
      </c>
      <c r="R35" s="74"/>
      <c r="S35" s="74"/>
      <c r="T35" s="75">
        <v>0</v>
      </c>
      <c r="U35" s="75">
        <v>36342.41</v>
      </c>
      <c r="V35" s="76">
        <f t="shared" si="14"/>
        <v>36342.630000000005</v>
      </c>
      <c r="W35" s="77"/>
      <c r="X35" s="78">
        <f t="shared" si="30"/>
        <v>36342.630000000005</v>
      </c>
      <c r="Y35" s="79">
        <v>1326399.69</v>
      </c>
      <c r="Z35" s="79">
        <v>389448.97</v>
      </c>
      <c r="AA35" s="79">
        <v>1109947.3</v>
      </c>
      <c r="AB35" s="80">
        <v>75124406</v>
      </c>
      <c r="AC35" s="80">
        <v>31517589</v>
      </c>
      <c r="AD35" s="80">
        <v>0</v>
      </c>
      <c r="AE35" s="80">
        <v>26270824.85</v>
      </c>
      <c r="AF35" s="80">
        <v>713241.41</v>
      </c>
      <c r="AG35" s="80">
        <v>0</v>
      </c>
      <c r="AH35" s="81">
        <f t="shared" si="2"/>
        <v>136488199.85</v>
      </c>
      <c r="AI35" s="82">
        <v>96327400</v>
      </c>
      <c r="AJ35" s="82">
        <v>7414900</v>
      </c>
      <c r="AK35" s="82">
        <v>125098200</v>
      </c>
      <c r="AL35" s="82">
        <v>51695900</v>
      </c>
      <c r="AM35" s="82">
        <v>14113700</v>
      </c>
      <c r="AN35" s="82">
        <v>51080400</v>
      </c>
      <c r="AO35" s="83">
        <f t="shared" si="31"/>
        <v>345730500</v>
      </c>
      <c r="AP35" s="84">
        <v>4200000</v>
      </c>
      <c r="AQ35" s="84">
        <v>5350976.64</v>
      </c>
      <c r="AR35" s="84">
        <v>813000</v>
      </c>
      <c r="AS35" s="85">
        <f t="shared" si="32"/>
        <v>10363976.64</v>
      </c>
      <c r="AT35" s="82">
        <v>32000</v>
      </c>
      <c r="AU35" s="82">
        <v>186000</v>
      </c>
      <c r="AV35" s="82"/>
      <c r="AW35" s="82" t="s">
        <v>224</v>
      </c>
      <c r="AX35" s="82" t="s">
        <v>223</v>
      </c>
      <c r="AY35" s="82" t="s">
        <v>223</v>
      </c>
      <c r="AZ35" s="82"/>
      <c r="BA35" s="82"/>
      <c r="BB35" s="82"/>
      <c r="BC35" s="82"/>
      <c r="BD35" s="82" t="s">
        <v>266</v>
      </c>
      <c r="BE35" s="82"/>
      <c r="BF35" s="82" t="s">
        <v>225</v>
      </c>
      <c r="BG35" s="82" t="s">
        <v>225</v>
      </c>
      <c r="BH35" s="82" t="s">
        <v>225</v>
      </c>
      <c r="BI35" s="82" t="s">
        <v>225</v>
      </c>
      <c r="BJ35" s="82" t="s">
        <v>224</v>
      </c>
      <c r="BK35" s="82"/>
      <c r="BL35" s="86">
        <f t="shared" si="15"/>
        <v>0</v>
      </c>
      <c r="BM35" s="86"/>
      <c r="BN35" s="86"/>
      <c r="BO35" s="86"/>
      <c r="BP35" s="87"/>
      <c r="BQ35" s="77"/>
      <c r="BR35" s="77"/>
      <c r="BS35" s="88">
        <f t="shared" si="24"/>
        <v>0.001</v>
      </c>
      <c r="BT35" s="88">
        <f t="shared" si="16"/>
        <v>0.019</v>
      </c>
      <c r="BU35" s="88">
        <f t="shared" si="17"/>
        <v>0.005</v>
      </c>
      <c r="BV35" s="88">
        <f t="shared" si="18"/>
        <v>0.015</v>
      </c>
      <c r="BW35" s="88">
        <f t="shared" si="19"/>
        <v>1.049</v>
      </c>
      <c r="BX35" s="88">
        <f t="shared" si="5"/>
        <v>0.44</v>
      </c>
      <c r="BY35" s="88">
        <f t="shared" si="6"/>
        <v>0</v>
      </c>
      <c r="BZ35" s="88">
        <f t="shared" si="20"/>
        <v>0.367</v>
      </c>
      <c r="CA35" s="88">
        <f t="shared" si="21"/>
        <v>0.01</v>
      </c>
      <c r="CB35" s="88">
        <f t="shared" si="22"/>
        <v>0</v>
      </c>
      <c r="CC35" s="88">
        <f t="shared" si="7"/>
        <v>1.906</v>
      </c>
      <c r="CD35" s="89">
        <f t="shared" si="8"/>
        <v>97.06</v>
      </c>
      <c r="CE35" s="88">
        <f t="shared" si="9"/>
        <v>1.8479028384031573</v>
      </c>
      <c r="CF35" s="90"/>
      <c r="CG35" s="86"/>
      <c r="CH35" s="86"/>
      <c r="CI35" s="86"/>
      <c r="CJ35" s="91"/>
      <c r="CK35" s="92" t="s">
        <v>255</v>
      </c>
      <c r="CL35" s="93" t="s">
        <v>232</v>
      </c>
      <c r="CM35" s="94">
        <v>139545500</v>
      </c>
      <c r="CN35" s="94">
        <v>147188.8</v>
      </c>
      <c r="CO35" s="95">
        <f t="shared" si="23"/>
        <v>0.106</v>
      </c>
    </row>
    <row r="36" spans="1:93" s="96" customFormat="1" ht="17.25" customHeight="1">
      <c r="A36" s="62" t="s">
        <v>176</v>
      </c>
      <c r="B36" s="63" t="s">
        <v>177</v>
      </c>
      <c r="C36" s="64">
        <v>482056000</v>
      </c>
      <c r="D36" s="64">
        <v>529980000</v>
      </c>
      <c r="E36" s="65">
        <f t="shared" si="29"/>
        <v>1012036000</v>
      </c>
      <c r="F36" s="66">
        <v>185100</v>
      </c>
      <c r="G36" s="67">
        <f t="shared" si="10"/>
        <v>1011850900</v>
      </c>
      <c r="H36" s="68">
        <v>0</v>
      </c>
      <c r="I36" s="65">
        <f t="shared" si="11"/>
        <v>1011850900</v>
      </c>
      <c r="J36" s="69">
        <f t="shared" si="12"/>
        <v>2.493</v>
      </c>
      <c r="K36" s="70">
        <v>99.28</v>
      </c>
      <c r="L36" s="71"/>
      <c r="M36" s="72"/>
      <c r="N36" s="64">
        <v>0</v>
      </c>
      <c r="O36" s="73">
        <v>9076220</v>
      </c>
      <c r="P36" s="65">
        <f t="shared" si="13"/>
        <v>1020927120</v>
      </c>
      <c r="Q36" s="74">
        <f>ROUND(P36*Q$60,2)+0.03</f>
        <v>0.03</v>
      </c>
      <c r="R36" s="74"/>
      <c r="S36" s="74"/>
      <c r="T36" s="75">
        <v>0</v>
      </c>
      <c r="U36" s="75">
        <v>3090.97</v>
      </c>
      <c r="V36" s="76">
        <f t="shared" si="14"/>
        <v>3091</v>
      </c>
      <c r="W36" s="77"/>
      <c r="X36" s="78">
        <f t="shared" si="30"/>
        <v>3091</v>
      </c>
      <c r="Y36" s="79">
        <v>0</v>
      </c>
      <c r="Z36" s="79">
        <v>53789.33</v>
      </c>
      <c r="AA36" s="79">
        <v>153304.32</v>
      </c>
      <c r="AB36" s="80">
        <v>0</v>
      </c>
      <c r="AC36" s="80">
        <v>16528468</v>
      </c>
      <c r="AD36" s="80">
        <v>0</v>
      </c>
      <c r="AE36" s="80">
        <v>8139389.4</v>
      </c>
      <c r="AF36" s="80">
        <v>0</v>
      </c>
      <c r="AG36" s="80">
        <v>338760</v>
      </c>
      <c r="AH36" s="81">
        <f t="shared" si="2"/>
        <v>25216802.05</v>
      </c>
      <c r="AI36" s="82">
        <v>4804300</v>
      </c>
      <c r="AJ36" s="82">
        <v>0</v>
      </c>
      <c r="AK36" s="82">
        <v>31476700</v>
      </c>
      <c r="AL36" s="82">
        <v>17765500</v>
      </c>
      <c r="AM36" s="82">
        <v>2991900</v>
      </c>
      <c r="AN36" s="82">
        <v>16448100</v>
      </c>
      <c r="AO36" s="83">
        <f t="shared" si="31"/>
        <v>73486500</v>
      </c>
      <c r="AP36" s="84">
        <v>180000</v>
      </c>
      <c r="AQ36" s="84">
        <v>2789726.88</v>
      </c>
      <c r="AR36" s="84">
        <v>0</v>
      </c>
      <c r="AS36" s="85">
        <f t="shared" si="32"/>
        <v>2969726.88</v>
      </c>
      <c r="AT36" s="82">
        <v>8250</v>
      </c>
      <c r="AU36" s="82">
        <v>43750</v>
      </c>
      <c r="AV36" s="82"/>
      <c r="AW36" s="82" t="s">
        <v>224</v>
      </c>
      <c r="AX36" s="82" t="s">
        <v>223</v>
      </c>
      <c r="AY36" s="82" t="s">
        <v>223</v>
      </c>
      <c r="AZ36" s="82"/>
      <c r="BA36" s="82"/>
      <c r="BB36" s="82"/>
      <c r="BC36" s="82"/>
      <c r="BD36" s="82" t="s">
        <v>266</v>
      </c>
      <c r="BE36" s="82"/>
      <c r="BF36" s="82">
        <v>185100</v>
      </c>
      <c r="BG36" s="82" t="s">
        <v>225</v>
      </c>
      <c r="BH36" s="82" t="s">
        <v>225</v>
      </c>
      <c r="BI36" s="82" t="s">
        <v>225</v>
      </c>
      <c r="BJ36" s="82" t="s">
        <v>224</v>
      </c>
      <c r="BK36" s="82"/>
      <c r="BL36" s="86">
        <f t="shared" si="15"/>
        <v>185100</v>
      </c>
      <c r="BM36" s="86"/>
      <c r="BN36" s="86"/>
      <c r="BO36" s="86"/>
      <c r="BP36" s="87"/>
      <c r="BQ36" s="77"/>
      <c r="BR36" s="77"/>
      <c r="BS36" s="88">
        <f t="shared" si="24"/>
        <v>0</v>
      </c>
      <c r="BT36" s="88">
        <f t="shared" si="16"/>
        <v>0</v>
      </c>
      <c r="BU36" s="88">
        <f t="shared" si="17"/>
        <v>0.005</v>
      </c>
      <c r="BV36" s="88">
        <f t="shared" si="18"/>
        <v>0.015</v>
      </c>
      <c r="BW36" s="88">
        <f>ROUND(AB36/I36*100,3)</f>
        <v>0</v>
      </c>
      <c r="BX36" s="88">
        <f>ROUNDUP(AC36/I36*100,3)</f>
        <v>1.634</v>
      </c>
      <c r="BY36" s="88">
        <f t="shared" si="6"/>
        <v>0</v>
      </c>
      <c r="BZ36" s="88">
        <f t="shared" si="20"/>
        <v>0.804</v>
      </c>
      <c r="CA36" s="88">
        <f t="shared" si="21"/>
        <v>0</v>
      </c>
      <c r="CB36" s="88">
        <f>ROUNDUP(AG36/I36*100,3)</f>
        <v>0.034</v>
      </c>
      <c r="CC36" s="88">
        <f t="shared" si="7"/>
        <v>2.493</v>
      </c>
      <c r="CD36" s="89">
        <f t="shared" si="8"/>
        <v>99.28</v>
      </c>
      <c r="CE36" s="88">
        <f t="shared" si="9"/>
        <v>2.4699904191006308</v>
      </c>
      <c r="CF36" s="90"/>
      <c r="CG36" s="86"/>
      <c r="CH36" s="86"/>
      <c r="CI36" s="86"/>
      <c r="CJ36" s="91"/>
      <c r="CK36" s="92" t="s">
        <v>255</v>
      </c>
      <c r="CL36" s="93" t="s">
        <v>233</v>
      </c>
      <c r="CM36" s="94">
        <v>126414200</v>
      </c>
      <c r="CN36" s="94">
        <v>133338.28</v>
      </c>
      <c r="CO36" s="95">
        <f t="shared" si="23"/>
        <v>0.106</v>
      </c>
    </row>
    <row r="37" spans="1:93" s="96" customFormat="1" ht="17.25" customHeight="1">
      <c r="A37" s="62" t="s">
        <v>178</v>
      </c>
      <c r="B37" s="63" t="s">
        <v>179</v>
      </c>
      <c r="C37" s="64">
        <v>5286081300</v>
      </c>
      <c r="D37" s="64">
        <v>5100605456</v>
      </c>
      <c r="E37" s="65">
        <f t="shared" si="29"/>
        <v>10386686756</v>
      </c>
      <c r="F37" s="66">
        <v>4052400</v>
      </c>
      <c r="G37" s="67">
        <f t="shared" si="10"/>
        <v>10382634356</v>
      </c>
      <c r="H37" s="68">
        <v>13168685</v>
      </c>
      <c r="I37" s="65">
        <f t="shared" si="11"/>
        <v>10395803041</v>
      </c>
      <c r="J37" s="69">
        <f t="shared" si="12"/>
        <v>1.8699999999999999</v>
      </c>
      <c r="K37" s="70">
        <v>100.02</v>
      </c>
      <c r="L37" s="71"/>
      <c r="M37" s="72"/>
      <c r="N37" s="64">
        <v>0</v>
      </c>
      <c r="O37" s="73">
        <v>10669143</v>
      </c>
      <c r="P37" s="65">
        <f t="shared" si="13"/>
        <v>10406472184</v>
      </c>
      <c r="Q37" s="74">
        <f>ROUND(P37*Q$60,2)+0.32</f>
        <v>0.32</v>
      </c>
      <c r="R37" s="74"/>
      <c r="S37" s="74"/>
      <c r="T37" s="75">
        <v>66097.4</v>
      </c>
      <c r="U37" s="75">
        <v>0</v>
      </c>
      <c r="V37" s="76">
        <f t="shared" si="14"/>
        <v>-66097.07999999999</v>
      </c>
      <c r="W37" s="77"/>
      <c r="X37" s="78">
        <f t="shared" si="30"/>
        <v>-66097.07999999999</v>
      </c>
      <c r="Y37" s="79">
        <v>0</v>
      </c>
      <c r="Z37" s="79">
        <v>0</v>
      </c>
      <c r="AA37" s="79">
        <v>1557211.96</v>
      </c>
      <c r="AB37" s="80">
        <v>139618772</v>
      </c>
      <c r="AC37" s="80">
        <v>0</v>
      </c>
      <c r="AD37" s="80">
        <v>0</v>
      </c>
      <c r="AE37" s="80">
        <v>47664804.49</v>
      </c>
      <c r="AF37" s="80">
        <v>2079160.61</v>
      </c>
      <c r="AG37" s="80">
        <v>3451257</v>
      </c>
      <c r="AH37" s="81">
        <f t="shared" si="2"/>
        <v>194305108.98000002</v>
      </c>
      <c r="AI37" s="82">
        <v>258532800</v>
      </c>
      <c r="AJ37" s="82">
        <v>45203200</v>
      </c>
      <c r="AK37" s="82">
        <v>585804300</v>
      </c>
      <c r="AL37" s="82">
        <v>116032200</v>
      </c>
      <c r="AM37" s="82">
        <v>39017800</v>
      </c>
      <c r="AN37" s="82">
        <v>82301000</v>
      </c>
      <c r="AO37" s="83">
        <f t="shared" si="31"/>
        <v>1126891300</v>
      </c>
      <c r="AP37" s="84">
        <v>5932000</v>
      </c>
      <c r="AQ37" s="84">
        <v>13254379.41</v>
      </c>
      <c r="AR37" s="84">
        <v>25000</v>
      </c>
      <c r="AS37" s="85">
        <f t="shared" si="32"/>
        <v>19211379.41</v>
      </c>
      <c r="AT37" s="82">
        <v>47750</v>
      </c>
      <c r="AU37" s="82">
        <v>501250</v>
      </c>
      <c r="AV37" s="82"/>
      <c r="AW37" s="82">
        <v>1820200</v>
      </c>
      <c r="AX37" s="82" t="s">
        <v>223</v>
      </c>
      <c r="AY37" s="82">
        <v>2102400</v>
      </c>
      <c r="AZ37" s="82"/>
      <c r="BA37" s="82"/>
      <c r="BB37" s="82"/>
      <c r="BC37" s="82"/>
      <c r="BD37" s="82" t="s">
        <v>266</v>
      </c>
      <c r="BE37" s="82"/>
      <c r="BF37" s="82">
        <v>129800</v>
      </c>
      <c r="BG37" s="82" t="s">
        <v>225</v>
      </c>
      <c r="BH37" s="82" t="s">
        <v>225</v>
      </c>
      <c r="BI37" s="82" t="s">
        <v>225</v>
      </c>
      <c r="BJ37" s="82" t="s">
        <v>224</v>
      </c>
      <c r="BK37" s="82"/>
      <c r="BL37" s="86">
        <f t="shared" si="15"/>
        <v>4052400</v>
      </c>
      <c r="BM37" s="86"/>
      <c r="BN37" s="86"/>
      <c r="BO37" s="86"/>
      <c r="BP37" s="87"/>
      <c r="BQ37" s="77"/>
      <c r="BR37" s="77"/>
      <c r="BS37" s="88">
        <f t="shared" si="24"/>
        <v>-0.001</v>
      </c>
      <c r="BT37" s="88">
        <f t="shared" si="16"/>
        <v>0</v>
      </c>
      <c r="BU37" s="88">
        <f t="shared" si="17"/>
        <v>0</v>
      </c>
      <c r="BV37" s="88">
        <f t="shared" si="18"/>
        <v>0.015</v>
      </c>
      <c r="BW37" s="88">
        <f t="shared" si="19"/>
        <v>1.343</v>
      </c>
      <c r="BX37" s="88">
        <f t="shared" si="5"/>
        <v>0</v>
      </c>
      <c r="BY37" s="88">
        <f t="shared" si="6"/>
        <v>0</v>
      </c>
      <c r="BZ37" s="88">
        <f t="shared" si="20"/>
        <v>0.459</v>
      </c>
      <c r="CA37" s="88">
        <f t="shared" si="21"/>
        <v>0.02</v>
      </c>
      <c r="CB37" s="88">
        <f t="shared" si="22"/>
        <v>0.033</v>
      </c>
      <c r="CC37" s="88">
        <f t="shared" si="7"/>
        <v>1.8699999999999999</v>
      </c>
      <c r="CD37" s="89">
        <f t="shared" si="8"/>
        <v>100.02</v>
      </c>
      <c r="CE37" s="88">
        <f t="shared" si="9"/>
        <v>1.8671563767666148</v>
      </c>
      <c r="CF37" s="90"/>
      <c r="CG37" s="86"/>
      <c r="CH37" s="86"/>
      <c r="CI37" s="86"/>
      <c r="CJ37" s="91"/>
      <c r="CK37" s="92" t="s">
        <v>255</v>
      </c>
      <c r="CL37" s="93" t="s">
        <v>256</v>
      </c>
      <c r="CM37" s="94">
        <v>30621300</v>
      </c>
      <c r="CN37" s="94">
        <v>44090.94</v>
      </c>
      <c r="CO37" s="95">
        <f t="shared" si="23"/>
        <v>0.144</v>
      </c>
    </row>
    <row r="38" spans="1:93" s="96" customFormat="1" ht="17.25" customHeight="1">
      <c r="A38" s="62" t="s">
        <v>180</v>
      </c>
      <c r="B38" s="63" t="s">
        <v>181</v>
      </c>
      <c r="C38" s="64">
        <v>602457200</v>
      </c>
      <c r="D38" s="64">
        <v>1236788100</v>
      </c>
      <c r="E38" s="65">
        <f t="shared" si="29"/>
        <v>1839245300</v>
      </c>
      <c r="F38" s="66">
        <v>0</v>
      </c>
      <c r="G38" s="67">
        <f t="shared" si="10"/>
        <v>1839245300</v>
      </c>
      <c r="H38" s="68">
        <v>6642712</v>
      </c>
      <c r="I38" s="65">
        <f t="shared" si="11"/>
        <v>1845888012</v>
      </c>
      <c r="J38" s="69">
        <f t="shared" si="12"/>
        <v>1.9109999999999998</v>
      </c>
      <c r="K38" s="70">
        <v>103.62</v>
      </c>
      <c r="L38" s="71"/>
      <c r="M38" s="72"/>
      <c r="N38" s="64">
        <v>62207904</v>
      </c>
      <c r="O38" s="73">
        <v>0</v>
      </c>
      <c r="P38" s="65">
        <f t="shared" si="13"/>
        <v>1783680108</v>
      </c>
      <c r="Q38" s="74">
        <f>ROUND(P38*Q$60,2)+0.05</f>
        <v>0.05</v>
      </c>
      <c r="R38" s="74"/>
      <c r="S38" s="74"/>
      <c r="T38" s="75">
        <v>0</v>
      </c>
      <c r="U38" s="75">
        <v>2995.84</v>
      </c>
      <c r="V38" s="76">
        <f t="shared" si="14"/>
        <v>2995.8900000000003</v>
      </c>
      <c r="W38" s="77"/>
      <c r="X38" s="78">
        <f t="shared" si="30"/>
        <v>2995.8900000000003</v>
      </c>
      <c r="Y38" s="79">
        <v>319960.5</v>
      </c>
      <c r="Z38" s="79">
        <v>93923.07</v>
      </c>
      <c r="AA38" s="79">
        <v>267720.5</v>
      </c>
      <c r="AB38" s="80">
        <v>30880311</v>
      </c>
      <c r="AC38" s="80">
        <v>0</v>
      </c>
      <c r="AD38" s="80">
        <v>0</v>
      </c>
      <c r="AE38" s="80">
        <v>2590456.72</v>
      </c>
      <c r="AF38" s="80">
        <v>1110001.51</v>
      </c>
      <c r="AG38" s="80">
        <v>0</v>
      </c>
      <c r="AH38" s="81">
        <f t="shared" si="2"/>
        <v>35265369.19</v>
      </c>
      <c r="AI38" s="82">
        <v>44441400</v>
      </c>
      <c r="AJ38" s="82">
        <v>0</v>
      </c>
      <c r="AK38" s="82">
        <v>76547000</v>
      </c>
      <c r="AL38" s="82">
        <v>7341900</v>
      </c>
      <c r="AM38" s="82">
        <v>1653700</v>
      </c>
      <c r="AN38" s="82">
        <v>10976100</v>
      </c>
      <c r="AO38" s="83">
        <f t="shared" si="31"/>
        <v>140960100</v>
      </c>
      <c r="AP38" s="84">
        <v>891893.04</v>
      </c>
      <c r="AQ38" s="84">
        <v>2434630.06</v>
      </c>
      <c r="AR38" s="84">
        <v>496261.24</v>
      </c>
      <c r="AS38" s="85">
        <f t="shared" si="32"/>
        <v>3822784.34</v>
      </c>
      <c r="AT38" s="82">
        <v>4000</v>
      </c>
      <c r="AU38" s="82">
        <v>49250</v>
      </c>
      <c r="AV38" s="82"/>
      <c r="AW38" s="82" t="s">
        <v>224</v>
      </c>
      <c r="AX38" s="82" t="s">
        <v>223</v>
      </c>
      <c r="AY38" s="82" t="s">
        <v>223</v>
      </c>
      <c r="AZ38" s="82"/>
      <c r="BA38" s="82"/>
      <c r="BB38" s="82"/>
      <c r="BC38" s="82"/>
      <c r="BD38" s="82" t="s">
        <v>266</v>
      </c>
      <c r="BE38" s="82"/>
      <c r="BF38" s="82" t="s">
        <v>225</v>
      </c>
      <c r="BG38" s="82" t="s">
        <v>225</v>
      </c>
      <c r="BH38" s="82" t="s">
        <v>225</v>
      </c>
      <c r="BI38" s="82" t="s">
        <v>225</v>
      </c>
      <c r="BJ38" s="82" t="s">
        <v>224</v>
      </c>
      <c r="BK38" s="82"/>
      <c r="BL38" s="86">
        <f t="shared" si="15"/>
        <v>0</v>
      </c>
      <c r="BM38" s="86"/>
      <c r="BN38" s="86"/>
      <c r="BO38" s="86"/>
      <c r="BP38" s="87"/>
      <c r="BQ38" s="77"/>
      <c r="BR38" s="77"/>
      <c r="BS38" s="88">
        <f>ROUNDUP(X38/I38*100,3)</f>
        <v>0.001</v>
      </c>
      <c r="BT38" s="88">
        <f t="shared" si="16"/>
        <v>0.017</v>
      </c>
      <c r="BU38" s="88">
        <f t="shared" si="17"/>
        <v>0.005</v>
      </c>
      <c r="BV38" s="88">
        <f t="shared" si="18"/>
        <v>0.015</v>
      </c>
      <c r="BW38" s="88">
        <f t="shared" si="19"/>
        <v>1.673</v>
      </c>
      <c r="BX38" s="88">
        <f t="shared" si="5"/>
        <v>0</v>
      </c>
      <c r="BY38" s="88">
        <f t="shared" si="6"/>
        <v>0</v>
      </c>
      <c r="BZ38" s="88">
        <f t="shared" si="20"/>
        <v>0.14</v>
      </c>
      <c r="CA38" s="88">
        <f t="shared" si="21"/>
        <v>0.06</v>
      </c>
      <c r="CB38" s="88">
        <f t="shared" si="22"/>
        <v>0</v>
      </c>
      <c r="CC38" s="88">
        <f aca="true" t="shared" si="33" ref="CC38:CC58">ROUNDUP(AH38/I38*100,3)</f>
        <v>1.9109999999999998</v>
      </c>
      <c r="CD38" s="89">
        <f aca="true" t="shared" si="34" ref="CD38:CD58">K38</f>
        <v>103.62</v>
      </c>
      <c r="CE38" s="88">
        <f aca="true" t="shared" si="35" ref="CE38:CE58">AH38/P38*100</f>
        <v>1.977112882059455</v>
      </c>
      <c r="CF38" s="90"/>
      <c r="CG38" s="86"/>
      <c r="CH38" s="86"/>
      <c r="CI38" s="86"/>
      <c r="CJ38" s="91"/>
      <c r="CK38" s="92" t="s">
        <v>255</v>
      </c>
      <c r="CL38" s="93" t="s">
        <v>257</v>
      </c>
      <c r="CM38" s="94">
        <v>5501600</v>
      </c>
      <c r="CN38" s="94">
        <v>7921.63</v>
      </c>
      <c r="CO38" s="95">
        <f t="shared" si="23"/>
        <v>0.144</v>
      </c>
    </row>
    <row r="39" spans="1:93" s="96" customFormat="1" ht="17.25" customHeight="1">
      <c r="A39" s="62" t="s">
        <v>182</v>
      </c>
      <c r="B39" s="63" t="s">
        <v>183</v>
      </c>
      <c r="C39" s="64">
        <v>692528900</v>
      </c>
      <c r="D39" s="64">
        <v>602421300</v>
      </c>
      <c r="E39" s="65">
        <f t="shared" si="29"/>
        <v>1294950200</v>
      </c>
      <c r="F39" s="66">
        <v>0</v>
      </c>
      <c r="G39" s="67">
        <f t="shared" si="10"/>
        <v>1294950200</v>
      </c>
      <c r="H39" s="68">
        <v>333478</v>
      </c>
      <c r="I39" s="65">
        <f t="shared" si="11"/>
        <v>1295283678</v>
      </c>
      <c r="J39" s="69">
        <f t="shared" si="12"/>
        <v>1.055</v>
      </c>
      <c r="K39" s="70">
        <v>97.47</v>
      </c>
      <c r="L39" s="71"/>
      <c r="M39" s="72"/>
      <c r="N39" s="64">
        <v>0</v>
      </c>
      <c r="O39" s="73">
        <v>34256422</v>
      </c>
      <c r="P39" s="65">
        <f t="shared" si="13"/>
        <v>1329540100</v>
      </c>
      <c r="Q39" s="74">
        <f>ROUND(P39*Q$60,2)+0.04</f>
        <v>0.04</v>
      </c>
      <c r="R39" s="74"/>
      <c r="S39" s="74"/>
      <c r="T39" s="75">
        <v>0</v>
      </c>
      <c r="U39" s="75">
        <v>8248.69</v>
      </c>
      <c r="V39" s="61">
        <f t="shared" si="14"/>
        <v>8248.730000000001</v>
      </c>
      <c r="W39" s="77"/>
      <c r="X39" s="78">
        <f t="shared" si="30"/>
        <v>8248.730000000001</v>
      </c>
      <c r="Y39" s="79">
        <v>238860.8</v>
      </c>
      <c r="Z39" s="79">
        <v>0</v>
      </c>
      <c r="AA39" s="79">
        <v>199889.35</v>
      </c>
      <c r="AB39" s="80">
        <v>4672380</v>
      </c>
      <c r="AC39" s="80">
        <v>4097954</v>
      </c>
      <c r="AD39" s="80">
        <v>0</v>
      </c>
      <c r="AE39" s="80">
        <v>4442199</v>
      </c>
      <c r="AF39" s="80">
        <v>0</v>
      </c>
      <c r="AG39" s="80">
        <v>0</v>
      </c>
      <c r="AH39" s="81">
        <f>SUM(X39+Y39+Z39+AA39+AB39+AC39+AD39+AE39+AF39+AG39)</f>
        <v>13659531.879999999</v>
      </c>
      <c r="AI39" s="82">
        <v>7555000</v>
      </c>
      <c r="AJ39" s="82">
        <v>0</v>
      </c>
      <c r="AK39" s="82">
        <v>25715700</v>
      </c>
      <c r="AL39" s="82">
        <v>3793500</v>
      </c>
      <c r="AM39" s="82">
        <v>0</v>
      </c>
      <c r="AN39" s="82">
        <v>17931600</v>
      </c>
      <c r="AO39" s="83">
        <f t="shared" si="31"/>
        <v>54995800</v>
      </c>
      <c r="AP39" s="84">
        <v>615000</v>
      </c>
      <c r="AQ39" s="84">
        <v>2111627</v>
      </c>
      <c r="AR39" s="84">
        <v>209000</v>
      </c>
      <c r="AS39" s="85">
        <f t="shared" si="32"/>
        <v>2935627</v>
      </c>
      <c r="AT39" s="82">
        <v>1500</v>
      </c>
      <c r="AU39" s="82">
        <v>25750</v>
      </c>
      <c r="AV39" s="82"/>
      <c r="AW39" s="82" t="s">
        <v>224</v>
      </c>
      <c r="AX39" s="82" t="s">
        <v>223</v>
      </c>
      <c r="AY39" s="82" t="s">
        <v>223</v>
      </c>
      <c r="AZ39" s="82"/>
      <c r="BA39" s="82"/>
      <c r="BB39" s="82"/>
      <c r="BC39" s="82"/>
      <c r="BD39" s="82" t="s">
        <v>266</v>
      </c>
      <c r="BE39" s="82"/>
      <c r="BF39" s="82" t="s">
        <v>225</v>
      </c>
      <c r="BG39" s="82" t="s">
        <v>225</v>
      </c>
      <c r="BH39" s="82" t="s">
        <v>225</v>
      </c>
      <c r="BI39" s="82" t="s">
        <v>225</v>
      </c>
      <c r="BJ39" s="82" t="s">
        <v>224</v>
      </c>
      <c r="BK39" s="82"/>
      <c r="BL39" s="86">
        <f t="shared" si="15"/>
        <v>0</v>
      </c>
      <c r="BM39" s="86"/>
      <c r="BN39" s="86"/>
      <c r="BO39" s="86"/>
      <c r="BP39" s="87"/>
      <c r="BQ39" s="77"/>
      <c r="BR39" s="77"/>
      <c r="BS39" s="88">
        <f t="shared" si="24"/>
        <v>0.001</v>
      </c>
      <c r="BT39" s="88">
        <f>ROUNDUP(Y39/I39*100,3)</f>
        <v>0.019</v>
      </c>
      <c r="BU39" s="88">
        <f t="shared" si="17"/>
        <v>0</v>
      </c>
      <c r="BV39" s="88">
        <f t="shared" si="18"/>
        <v>0.015</v>
      </c>
      <c r="BW39" s="88">
        <f t="shared" si="19"/>
        <v>0.361</v>
      </c>
      <c r="BX39" s="88">
        <f t="shared" si="5"/>
        <v>0.316</v>
      </c>
      <c r="BY39" s="88">
        <f t="shared" si="6"/>
        <v>0</v>
      </c>
      <c r="BZ39" s="88">
        <f t="shared" si="20"/>
        <v>0.343</v>
      </c>
      <c r="CA39" s="88">
        <f t="shared" si="21"/>
        <v>0</v>
      </c>
      <c r="CB39" s="88">
        <f t="shared" si="22"/>
        <v>0</v>
      </c>
      <c r="CC39" s="88">
        <f t="shared" si="33"/>
        <v>1.055</v>
      </c>
      <c r="CD39" s="89">
        <f t="shared" si="34"/>
        <v>97.47</v>
      </c>
      <c r="CE39" s="88">
        <f t="shared" si="35"/>
        <v>1.027387732043584</v>
      </c>
      <c r="CF39" s="90"/>
      <c r="CG39" s="86"/>
      <c r="CH39" s="86"/>
      <c r="CI39" s="86"/>
      <c r="CJ39" s="91"/>
      <c r="CK39" s="92" t="s">
        <v>255</v>
      </c>
      <c r="CL39" s="93" t="s">
        <v>258</v>
      </c>
      <c r="CM39" s="94">
        <v>180619500</v>
      </c>
      <c r="CN39" s="94">
        <v>179580.35</v>
      </c>
      <c r="CO39" s="95">
        <f t="shared" si="23"/>
        <v>0.1</v>
      </c>
    </row>
    <row r="40" spans="1:93" s="96" customFormat="1" ht="17.25" customHeight="1">
      <c r="A40" s="62" t="s">
        <v>184</v>
      </c>
      <c r="B40" s="63" t="s">
        <v>185</v>
      </c>
      <c r="C40" s="64">
        <v>1798653500</v>
      </c>
      <c r="D40" s="64">
        <v>1739832410</v>
      </c>
      <c r="E40" s="65">
        <f t="shared" si="29"/>
        <v>3538485910</v>
      </c>
      <c r="F40" s="66">
        <v>1229900</v>
      </c>
      <c r="G40" s="67">
        <f t="shared" si="10"/>
        <v>3537256010</v>
      </c>
      <c r="H40" s="68">
        <v>0</v>
      </c>
      <c r="I40" s="65">
        <f t="shared" si="11"/>
        <v>3537256010</v>
      </c>
      <c r="J40" s="69">
        <f t="shared" si="12"/>
        <v>1.8809999999999998</v>
      </c>
      <c r="K40" s="70">
        <v>96.33</v>
      </c>
      <c r="L40" s="71"/>
      <c r="M40" s="72"/>
      <c r="N40" s="64">
        <v>0</v>
      </c>
      <c r="O40" s="73">
        <v>148847828</v>
      </c>
      <c r="P40" s="65">
        <f t="shared" si="13"/>
        <v>3686103838</v>
      </c>
      <c r="Q40" s="74">
        <f>ROUND(P40*Q$60,2)+0.11</f>
        <v>0.11</v>
      </c>
      <c r="R40" s="74"/>
      <c r="S40" s="74"/>
      <c r="T40" s="75">
        <v>0</v>
      </c>
      <c r="U40" s="75">
        <v>4728.1</v>
      </c>
      <c r="V40" s="76">
        <f t="shared" si="14"/>
        <v>4728.21</v>
      </c>
      <c r="W40" s="77"/>
      <c r="X40" s="78">
        <f t="shared" si="30"/>
        <v>4728.21</v>
      </c>
      <c r="Y40" s="79">
        <v>0</v>
      </c>
      <c r="Z40" s="79">
        <v>194067</v>
      </c>
      <c r="AA40" s="79">
        <v>553137.23</v>
      </c>
      <c r="AB40" s="80">
        <v>36756362</v>
      </c>
      <c r="AC40" s="80">
        <v>0</v>
      </c>
      <c r="AD40" s="80">
        <v>0</v>
      </c>
      <c r="AE40" s="80">
        <v>27773513.58</v>
      </c>
      <c r="AF40" s="80">
        <v>0</v>
      </c>
      <c r="AG40" s="80">
        <v>1219019</v>
      </c>
      <c r="AH40" s="81">
        <f t="shared" si="2"/>
        <v>66500827.019999996</v>
      </c>
      <c r="AI40" s="82">
        <v>121428200</v>
      </c>
      <c r="AJ40" s="82">
        <v>12913300</v>
      </c>
      <c r="AK40" s="82">
        <v>94835800</v>
      </c>
      <c r="AL40" s="82">
        <v>62145900</v>
      </c>
      <c r="AM40" s="82">
        <v>7095100</v>
      </c>
      <c r="AN40" s="82">
        <v>229494600</v>
      </c>
      <c r="AO40" s="83">
        <f t="shared" si="31"/>
        <v>527912900</v>
      </c>
      <c r="AP40" s="84">
        <v>2400000</v>
      </c>
      <c r="AQ40" s="84">
        <v>10558881.98</v>
      </c>
      <c r="AR40" s="84">
        <v>1136896.94</v>
      </c>
      <c r="AS40" s="85">
        <f t="shared" si="32"/>
        <v>14095778.92</v>
      </c>
      <c r="AT40" s="82">
        <v>54750</v>
      </c>
      <c r="AU40" s="82">
        <v>186750</v>
      </c>
      <c r="AV40" s="82"/>
      <c r="AW40" s="82" t="s">
        <v>224</v>
      </c>
      <c r="AX40" s="82" t="s">
        <v>223</v>
      </c>
      <c r="AY40" s="82" t="s">
        <v>223</v>
      </c>
      <c r="AZ40" s="82"/>
      <c r="BA40" s="82"/>
      <c r="BB40" s="82"/>
      <c r="BC40" s="82"/>
      <c r="BD40" s="82" t="s">
        <v>266</v>
      </c>
      <c r="BE40" s="82"/>
      <c r="BF40" s="82" t="s">
        <v>225</v>
      </c>
      <c r="BG40" s="82" t="s">
        <v>225</v>
      </c>
      <c r="BH40" s="82" t="s">
        <v>225</v>
      </c>
      <c r="BI40" s="82" t="s">
        <v>225</v>
      </c>
      <c r="BJ40" s="82" t="s">
        <v>224</v>
      </c>
      <c r="BK40" s="82">
        <v>1229900</v>
      </c>
      <c r="BL40" s="86">
        <f t="shared" si="15"/>
        <v>1229900</v>
      </c>
      <c r="BM40" s="86"/>
      <c r="BN40" s="86"/>
      <c r="BO40" s="86"/>
      <c r="BP40" s="87"/>
      <c r="BQ40" s="77"/>
      <c r="BR40" s="77"/>
      <c r="BS40" s="88">
        <f t="shared" si="24"/>
        <v>0</v>
      </c>
      <c r="BT40" s="88">
        <f t="shared" si="16"/>
        <v>0</v>
      </c>
      <c r="BU40" s="88">
        <f>ROUNDUP(Z40/I40*100,3)</f>
        <v>0.006</v>
      </c>
      <c r="BV40" s="88">
        <f t="shared" si="18"/>
        <v>0.016</v>
      </c>
      <c r="BW40" s="88">
        <f t="shared" si="19"/>
        <v>1.039</v>
      </c>
      <c r="BX40" s="88">
        <f t="shared" si="5"/>
        <v>0</v>
      </c>
      <c r="BY40" s="88">
        <f t="shared" si="6"/>
        <v>0</v>
      </c>
      <c r="BZ40" s="88">
        <f t="shared" si="20"/>
        <v>0.785</v>
      </c>
      <c r="CA40" s="88">
        <f t="shared" si="21"/>
        <v>0</v>
      </c>
      <c r="CB40" s="88">
        <f>ROUNDUP(AG40/I40*100,3)</f>
        <v>0.035</v>
      </c>
      <c r="CC40" s="88">
        <f t="shared" si="33"/>
        <v>1.8809999999999998</v>
      </c>
      <c r="CD40" s="89">
        <f t="shared" si="34"/>
        <v>96.33</v>
      </c>
      <c r="CE40" s="88">
        <f t="shared" si="35"/>
        <v>1.8040953251084186</v>
      </c>
      <c r="CF40" s="90"/>
      <c r="CG40" s="86"/>
      <c r="CH40" s="86"/>
      <c r="CI40" s="86"/>
      <c r="CJ40" s="91"/>
      <c r="CK40" s="92" t="s">
        <v>259</v>
      </c>
      <c r="CL40" s="93" t="s">
        <v>239</v>
      </c>
      <c r="CM40" s="94">
        <v>60338800</v>
      </c>
      <c r="CN40" s="94">
        <v>46460.88</v>
      </c>
      <c r="CO40" s="95">
        <f>ROUNDUP(CN40/CM40*100,3)-0.001</f>
        <v>0.077</v>
      </c>
    </row>
    <row r="41" spans="1:93" s="96" customFormat="1" ht="17.25" customHeight="1">
      <c r="A41" s="62" t="s">
        <v>186</v>
      </c>
      <c r="B41" s="63" t="s">
        <v>187</v>
      </c>
      <c r="C41" s="64">
        <v>225662100</v>
      </c>
      <c r="D41" s="64">
        <v>318958200</v>
      </c>
      <c r="E41" s="65">
        <f t="shared" si="29"/>
        <v>544620300</v>
      </c>
      <c r="F41" s="66">
        <v>3448000</v>
      </c>
      <c r="G41" s="67">
        <f t="shared" si="10"/>
        <v>541172300</v>
      </c>
      <c r="H41" s="68">
        <v>0</v>
      </c>
      <c r="I41" s="65">
        <f t="shared" si="11"/>
        <v>541172300</v>
      </c>
      <c r="J41" s="69">
        <f t="shared" si="12"/>
        <v>2.235</v>
      </c>
      <c r="K41" s="70">
        <v>103.55</v>
      </c>
      <c r="L41" s="71"/>
      <c r="M41" s="72"/>
      <c r="N41" s="64">
        <v>12550858</v>
      </c>
      <c r="O41" s="73">
        <v>0</v>
      </c>
      <c r="P41" s="65">
        <f t="shared" si="13"/>
        <v>528621442</v>
      </c>
      <c r="Q41" s="74">
        <f>ROUND(P41*Q$60,2)+0.02</f>
        <v>0.02</v>
      </c>
      <c r="R41" s="74"/>
      <c r="S41" s="74"/>
      <c r="T41" s="75">
        <v>0</v>
      </c>
      <c r="U41" s="75">
        <v>2072.56</v>
      </c>
      <c r="V41" s="76">
        <f t="shared" si="14"/>
        <v>2072.58</v>
      </c>
      <c r="W41" s="77"/>
      <c r="X41" s="78">
        <f t="shared" si="30"/>
        <v>2072.58</v>
      </c>
      <c r="Y41" s="79">
        <v>94900.63</v>
      </c>
      <c r="Z41" s="79">
        <v>27858.41</v>
      </c>
      <c r="AA41" s="79">
        <v>79407.08</v>
      </c>
      <c r="AB41" s="80">
        <v>6751550</v>
      </c>
      <c r="AC41" s="80">
        <v>0</v>
      </c>
      <c r="AD41" s="80">
        <v>0</v>
      </c>
      <c r="AE41" s="80">
        <v>5138269.15</v>
      </c>
      <c r="AF41" s="80">
        <v>0</v>
      </c>
      <c r="AG41" s="80">
        <v>0</v>
      </c>
      <c r="AH41" s="81">
        <f t="shared" si="2"/>
        <v>12094057.850000001</v>
      </c>
      <c r="AI41" s="82">
        <v>6457300</v>
      </c>
      <c r="AJ41" s="82">
        <v>0</v>
      </c>
      <c r="AK41" s="82">
        <v>16189000</v>
      </c>
      <c r="AL41" s="82">
        <v>1439600</v>
      </c>
      <c r="AM41" s="82">
        <v>36000</v>
      </c>
      <c r="AN41" s="82">
        <v>2936800</v>
      </c>
      <c r="AO41" s="83">
        <f t="shared" si="31"/>
        <v>27058700</v>
      </c>
      <c r="AP41" s="84">
        <v>400000</v>
      </c>
      <c r="AQ41" s="84">
        <v>1334326.9</v>
      </c>
      <c r="AR41" s="84">
        <v>540000</v>
      </c>
      <c r="AS41" s="85">
        <f t="shared" si="32"/>
        <v>2274326.9</v>
      </c>
      <c r="AT41" s="82">
        <v>8500</v>
      </c>
      <c r="AU41" s="82">
        <v>44250</v>
      </c>
      <c r="AV41" s="82"/>
      <c r="AW41" s="82" t="s">
        <v>224</v>
      </c>
      <c r="AX41" s="82" t="s">
        <v>223</v>
      </c>
      <c r="AY41" s="82" t="s">
        <v>223</v>
      </c>
      <c r="AZ41" s="82"/>
      <c r="BA41" s="82"/>
      <c r="BB41" s="82"/>
      <c r="BC41" s="82"/>
      <c r="BD41" s="82" t="s">
        <v>266</v>
      </c>
      <c r="BE41" s="82"/>
      <c r="BF41" s="82" t="s">
        <v>225</v>
      </c>
      <c r="BG41" s="82">
        <v>3448000</v>
      </c>
      <c r="BH41" s="82" t="s">
        <v>225</v>
      </c>
      <c r="BI41" s="82" t="s">
        <v>225</v>
      </c>
      <c r="BJ41" s="82"/>
      <c r="BK41" s="82"/>
      <c r="BL41" s="86">
        <f t="shared" si="15"/>
        <v>3448000</v>
      </c>
      <c r="BM41" s="86"/>
      <c r="BN41" s="86"/>
      <c r="BO41" s="86"/>
      <c r="BP41" s="87"/>
      <c r="BQ41" s="77"/>
      <c r="BR41" s="77"/>
      <c r="BS41" s="88">
        <f t="shared" si="24"/>
        <v>0</v>
      </c>
      <c r="BT41" s="88">
        <f t="shared" si="16"/>
        <v>0.018</v>
      </c>
      <c r="BU41" s="88">
        <f t="shared" si="17"/>
        <v>0.005</v>
      </c>
      <c r="BV41" s="88">
        <f t="shared" si="18"/>
        <v>0.015</v>
      </c>
      <c r="BW41" s="88">
        <f t="shared" si="19"/>
        <v>1.248</v>
      </c>
      <c r="BX41" s="88">
        <f t="shared" si="5"/>
        <v>0</v>
      </c>
      <c r="BY41" s="88">
        <f t="shared" si="6"/>
        <v>0</v>
      </c>
      <c r="BZ41" s="88">
        <f t="shared" si="20"/>
        <v>0.949</v>
      </c>
      <c r="CA41" s="88">
        <f t="shared" si="21"/>
        <v>0</v>
      </c>
      <c r="CB41" s="88">
        <f t="shared" si="22"/>
        <v>0</v>
      </c>
      <c r="CC41" s="88">
        <f t="shared" si="33"/>
        <v>2.235</v>
      </c>
      <c r="CD41" s="89">
        <f t="shared" si="34"/>
        <v>103.55</v>
      </c>
      <c r="CE41" s="88">
        <f t="shared" si="35"/>
        <v>2.2878485224214575</v>
      </c>
      <c r="CF41" s="90"/>
      <c r="CG41" s="86"/>
      <c r="CH41" s="86"/>
      <c r="CI41" s="86"/>
      <c r="CJ41" s="91"/>
      <c r="CK41" s="92" t="s">
        <v>259</v>
      </c>
      <c r="CL41" s="93" t="s">
        <v>260</v>
      </c>
      <c r="CM41" s="94">
        <v>17664500</v>
      </c>
      <c r="CN41" s="94">
        <v>6889.16</v>
      </c>
      <c r="CO41" s="95">
        <f>ROUNDUP(CN41/CM41*100,3)-0.001</f>
        <v>0.039</v>
      </c>
    </row>
    <row r="42" spans="1:93" s="96" customFormat="1" ht="17.25" customHeight="1">
      <c r="A42" s="62" t="s">
        <v>188</v>
      </c>
      <c r="B42" s="63" t="s">
        <v>189</v>
      </c>
      <c r="C42" s="64">
        <v>2103677100</v>
      </c>
      <c r="D42" s="64">
        <v>2113846300</v>
      </c>
      <c r="E42" s="65">
        <f t="shared" si="29"/>
        <v>4217523400</v>
      </c>
      <c r="F42" s="66">
        <v>0</v>
      </c>
      <c r="G42" s="67">
        <f t="shared" si="10"/>
        <v>4217523400</v>
      </c>
      <c r="H42" s="68">
        <v>3628655</v>
      </c>
      <c r="I42" s="65">
        <f t="shared" si="11"/>
        <v>4221152055</v>
      </c>
      <c r="J42" s="69">
        <f t="shared" si="12"/>
        <v>1.99</v>
      </c>
      <c r="K42" s="70">
        <v>90.18</v>
      </c>
      <c r="L42" s="71"/>
      <c r="M42" s="72"/>
      <c r="N42" s="64">
        <v>0</v>
      </c>
      <c r="O42" s="73">
        <v>466600112</v>
      </c>
      <c r="P42" s="65">
        <f t="shared" si="13"/>
        <v>4687752167</v>
      </c>
      <c r="Q42" s="74">
        <f>ROUND(P42*Q$60,2)+0.14</f>
        <v>0.14</v>
      </c>
      <c r="R42" s="74"/>
      <c r="S42" s="74"/>
      <c r="T42" s="75">
        <v>0</v>
      </c>
      <c r="U42" s="75">
        <v>38885.25</v>
      </c>
      <c r="V42" s="76">
        <f t="shared" si="14"/>
        <v>38885.39</v>
      </c>
      <c r="W42" s="77"/>
      <c r="X42" s="78">
        <f t="shared" si="30"/>
        <v>38885.39</v>
      </c>
      <c r="Y42" s="79">
        <v>842834.17</v>
      </c>
      <c r="Z42" s="79">
        <v>0</v>
      </c>
      <c r="AA42" s="79">
        <v>705283.1</v>
      </c>
      <c r="AB42" s="80">
        <v>0</v>
      </c>
      <c r="AC42" s="80">
        <v>61549334</v>
      </c>
      <c r="AD42" s="80">
        <v>0</v>
      </c>
      <c r="AE42" s="80">
        <v>20823732.51</v>
      </c>
      <c r="AF42" s="80">
        <v>0</v>
      </c>
      <c r="AG42" s="80">
        <v>0</v>
      </c>
      <c r="AH42" s="81">
        <f t="shared" si="2"/>
        <v>83960069.17</v>
      </c>
      <c r="AI42" s="82">
        <v>71761000</v>
      </c>
      <c r="AJ42" s="82">
        <v>19200500</v>
      </c>
      <c r="AK42" s="82">
        <v>166599900</v>
      </c>
      <c r="AL42" s="82">
        <v>66005000</v>
      </c>
      <c r="AM42" s="82">
        <v>574900</v>
      </c>
      <c r="AN42" s="82">
        <v>11377900</v>
      </c>
      <c r="AO42" s="83">
        <f t="shared" si="31"/>
        <v>335519200</v>
      </c>
      <c r="AP42" s="84">
        <v>6475000</v>
      </c>
      <c r="AQ42" s="84">
        <v>6906002.44</v>
      </c>
      <c r="AR42" s="84">
        <v>1000000</v>
      </c>
      <c r="AS42" s="85">
        <f t="shared" si="32"/>
        <v>14381002.440000001</v>
      </c>
      <c r="AT42" s="82">
        <v>15500</v>
      </c>
      <c r="AU42" s="82">
        <v>187500</v>
      </c>
      <c r="AV42" s="82"/>
      <c r="AW42" s="82" t="s">
        <v>224</v>
      </c>
      <c r="AX42" s="82" t="s">
        <v>223</v>
      </c>
      <c r="AY42" s="82" t="s">
        <v>223</v>
      </c>
      <c r="AZ42" s="82"/>
      <c r="BA42" s="82"/>
      <c r="BB42" s="82"/>
      <c r="BC42" s="82"/>
      <c r="BD42" s="82" t="s">
        <v>266</v>
      </c>
      <c r="BE42" s="82"/>
      <c r="BF42" s="82"/>
      <c r="BG42" s="82" t="s">
        <v>225</v>
      </c>
      <c r="BH42" s="82" t="s">
        <v>225</v>
      </c>
      <c r="BI42" s="82" t="s">
        <v>225</v>
      </c>
      <c r="BJ42" s="82" t="s">
        <v>224</v>
      </c>
      <c r="BK42" s="82"/>
      <c r="BL42" s="86">
        <f t="shared" si="15"/>
        <v>0</v>
      </c>
      <c r="BM42" s="86"/>
      <c r="BN42" s="86"/>
      <c r="BO42" s="86"/>
      <c r="BP42" s="87"/>
      <c r="BQ42" s="77"/>
      <c r="BR42" s="77"/>
      <c r="BS42" s="88">
        <f t="shared" si="24"/>
        <v>0.001</v>
      </c>
      <c r="BT42" s="88">
        <f t="shared" si="16"/>
        <v>0.02</v>
      </c>
      <c r="BU42" s="88">
        <f t="shared" si="17"/>
        <v>0</v>
      </c>
      <c r="BV42" s="88">
        <f t="shared" si="18"/>
        <v>0.017</v>
      </c>
      <c r="BW42" s="88">
        <f t="shared" si="19"/>
        <v>0</v>
      </c>
      <c r="BX42" s="88">
        <f t="shared" si="5"/>
        <v>1.458</v>
      </c>
      <c r="BY42" s="88">
        <f t="shared" si="6"/>
        <v>0</v>
      </c>
      <c r="BZ42" s="88">
        <f t="shared" si="20"/>
        <v>0.493</v>
      </c>
      <c r="CA42" s="88">
        <f t="shared" si="21"/>
        <v>0</v>
      </c>
      <c r="CB42" s="88">
        <f t="shared" si="22"/>
        <v>0</v>
      </c>
      <c r="CC42" s="88">
        <f t="shared" si="33"/>
        <v>1.99</v>
      </c>
      <c r="CD42" s="89">
        <f t="shared" si="34"/>
        <v>90.18</v>
      </c>
      <c r="CE42" s="88">
        <f t="shared" si="35"/>
        <v>1.791051791539815</v>
      </c>
      <c r="CF42" s="90"/>
      <c r="CG42" s="86"/>
      <c r="CH42" s="86"/>
      <c r="CI42" s="86"/>
      <c r="CJ42" s="91"/>
      <c r="CK42" s="92" t="s">
        <v>259</v>
      </c>
      <c r="CL42" s="93" t="s">
        <v>261</v>
      </c>
      <c r="CM42" s="94">
        <v>50007400</v>
      </c>
      <c r="CN42" s="94">
        <v>15002.22</v>
      </c>
      <c r="CO42" s="95">
        <f t="shared" si="23"/>
        <v>0.03</v>
      </c>
    </row>
    <row r="43" spans="1:93" s="96" customFormat="1" ht="17.25" customHeight="1">
      <c r="A43" s="62" t="s">
        <v>190</v>
      </c>
      <c r="B43" s="63" t="s">
        <v>191</v>
      </c>
      <c r="C43" s="64">
        <v>499292800</v>
      </c>
      <c r="D43" s="64">
        <v>540174300</v>
      </c>
      <c r="E43" s="65">
        <f t="shared" si="29"/>
        <v>1039467100</v>
      </c>
      <c r="F43" s="66">
        <v>0</v>
      </c>
      <c r="G43" s="67">
        <f t="shared" si="10"/>
        <v>1039467100</v>
      </c>
      <c r="H43" s="68">
        <v>580519</v>
      </c>
      <c r="I43" s="65">
        <f t="shared" si="11"/>
        <v>1040047619</v>
      </c>
      <c r="J43" s="69">
        <f t="shared" si="12"/>
        <v>1.849</v>
      </c>
      <c r="K43" s="70">
        <v>89.31</v>
      </c>
      <c r="L43" s="71"/>
      <c r="M43" s="72"/>
      <c r="N43" s="64">
        <v>0</v>
      </c>
      <c r="O43" s="73">
        <v>128707895</v>
      </c>
      <c r="P43" s="65">
        <f t="shared" si="13"/>
        <v>1168755514</v>
      </c>
      <c r="Q43" s="74">
        <f>ROUND(P43*Q$60,2)+0.04</f>
        <v>0.04</v>
      </c>
      <c r="R43" s="74"/>
      <c r="S43" s="74"/>
      <c r="T43" s="75">
        <v>0</v>
      </c>
      <c r="U43" s="75">
        <v>2680.63</v>
      </c>
      <c r="V43" s="76">
        <f t="shared" si="14"/>
        <v>2680.67</v>
      </c>
      <c r="W43" s="77"/>
      <c r="X43" s="78">
        <f t="shared" si="30"/>
        <v>2680.67</v>
      </c>
      <c r="Y43" s="79">
        <v>209690.98</v>
      </c>
      <c r="Z43" s="79">
        <v>61557.42</v>
      </c>
      <c r="AA43" s="79">
        <v>175462.66</v>
      </c>
      <c r="AB43" s="80">
        <v>8857202</v>
      </c>
      <c r="AC43" s="80">
        <v>4105143</v>
      </c>
      <c r="AD43" s="80">
        <v>0</v>
      </c>
      <c r="AE43" s="80">
        <v>5608707</v>
      </c>
      <c r="AF43" s="80">
        <v>208015.4</v>
      </c>
      <c r="AG43" s="80">
        <v>0</v>
      </c>
      <c r="AH43" s="81">
        <f t="shared" si="2"/>
        <v>19228459.13</v>
      </c>
      <c r="AI43" s="82">
        <v>11594800</v>
      </c>
      <c r="AJ43" s="82">
        <v>0</v>
      </c>
      <c r="AK43" s="82">
        <v>105786900</v>
      </c>
      <c r="AL43" s="82">
        <v>1212000</v>
      </c>
      <c r="AM43" s="82">
        <v>9520300</v>
      </c>
      <c r="AN43" s="82">
        <v>254297700</v>
      </c>
      <c r="AO43" s="83">
        <f t="shared" si="31"/>
        <v>382411700</v>
      </c>
      <c r="AP43" s="84">
        <v>746000</v>
      </c>
      <c r="AQ43" s="84">
        <v>1351919.41</v>
      </c>
      <c r="AR43" s="84">
        <v>246812.85</v>
      </c>
      <c r="AS43" s="85">
        <f t="shared" si="32"/>
        <v>2344732.2600000002</v>
      </c>
      <c r="AT43" s="82">
        <v>5750</v>
      </c>
      <c r="AU43" s="82">
        <v>49000</v>
      </c>
      <c r="AV43" s="82"/>
      <c r="AW43" s="82" t="s">
        <v>224</v>
      </c>
      <c r="AX43" s="82" t="s">
        <v>223</v>
      </c>
      <c r="AY43" s="82" t="s">
        <v>223</v>
      </c>
      <c r="AZ43" s="82"/>
      <c r="BA43" s="82"/>
      <c r="BB43" s="82"/>
      <c r="BC43" s="82"/>
      <c r="BD43" s="82" t="s">
        <v>266</v>
      </c>
      <c r="BE43" s="82"/>
      <c r="BF43" s="82" t="s">
        <v>225</v>
      </c>
      <c r="BG43" s="82" t="s">
        <v>225</v>
      </c>
      <c r="BH43" s="82" t="s">
        <v>225</v>
      </c>
      <c r="BI43" s="82" t="s">
        <v>225</v>
      </c>
      <c r="BJ43" s="82" t="s">
        <v>224</v>
      </c>
      <c r="BK43" s="82" t="s">
        <v>226</v>
      </c>
      <c r="BL43" s="86">
        <f t="shared" si="15"/>
        <v>0</v>
      </c>
      <c r="BM43" s="86"/>
      <c r="BN43" s="86"/>
      <c r="BO43" s="86"/>
      <c r="BP43" s="87"/>
      <c r="BQ43" s="77"/>
      <c r="BR43" s="77"/>
      <c r="BS43" s="88">
        <f t="shared" si="24"/>
        <v>0</v>
      </c>
      <c r="BT43" s="88">
        <f t="shared" si="16"/>
        <v>0.02</v>
      </c>
      <c r="BU43" s="88">
        <f t="shared" si="17"/>
        <v>0.006</v>
      </c>
      <c r="BV43" s="88">
        <f t="shared" si="18"/>
        <v>0.017</v>
      </c>
      <c r="BW43" s="88">
        <f t="shared" si="19"/>
        <v>0.852</v>
      </c>
      <c r="BX43" s="88">
        <f t="shared" si="5"/>
        <v>0.395</v>
      </c>
      <c r="BY43" s="88">
        <f t="shared" si="6"/>
        <v>0</v>
      </c>
      <c r="BZ43" s="88">
        <f t="shared" si="20"/>
        <v>0.539</v>
      </c>
      <c r="CA43" s="88">
        <f t="shared" si="21"/>
        <v>0.02</v>
      </c>
      <c r="CB43" s="88">
        <f t="shared" si="22"/>
        <v>0</v>
      </c>
      <c r="CC43" s="88">
        <f t="shared" si="33"/>
        <v>1.849</v>
      </c>
      <c r="CD43" s="89">
        <f t="shared" si="34"/>
        <v>89.31</v>
      </c>
      <c r="CE43" s="88">
        <f t="shared" si="35"/>
        <v>1.645207992575939</v>
      </c>
      <c r="CF43" s="90"/>
      <c r="CG43" s="86"/>
      <c r="CH43" s="86"/>
      <c r="CI43" s="86"/>
      <c r="CJ43" s="91"/>
      <c r="CK43" s="92" t="s">
        <v>262</v>
      </c>
      <c r="CL43" s="93" t="s">
        <v>228</v>
      </c>
      <c r="CM43" s="94">
        <v>1730585650</v>
      </c>
      <c r="CN43" s="94">
        <v>1100494</v>
      </c>
      <c r="CO43" s="95">
        <f t="shared" si="23"/>
        <v>0.064</v>
      </c>
    </row>
    <row r="44" spans="1:93" s="96" customFormat="1" ht="17.25" customHeight="1">
      <c r="A44" s="62" t="s">
        <v>192</v>
      </c>
      <c r="B44" s="63" t="s">
        <v>193</v>
      </c>
      <c r="C44" s="64">
        <v>984856800</v>
      </c>
      <c r="D44" s="64">
        <v>1085649200</v>
      </c>
      <c r="E44" s="65">
        <f t="shared" si="29"/>
        <v>2070506000</v>
      </c>
      <c r="F44" s="66">
        <v>0</v>
      </c>
      <c r="G44" s="67">
        <f t="shared" si="10"/>
        <v>2070506000</v>
      </c>
      <c r="H44" s="68">
        <v>7593910</v>
      </c>
      <c r="I44" s="65">
        <f t="shared" si="11"/>
        <v>2078099910</v>
      </c>
      <c r="J44" s="69">
        <f t="shared" si="12"/>
        <v>1.841</v>
      </c>
      <c r="K44" s="70">
        <v>98.72</v>
      </c>
      <c r="L44" s="71"/>
      <c r="M44" s="72"/>
      <c r="N44" s="64">
        <v>0</v>
      </c>
      <c r="O44" s="73">
        <v>41788186</v>
      </c>
      <c r="P44" s="65">
        <f t="shared" si="13"/>
        <v>2119888096</v>
      </c>
      <c r="Q44" s="74">
        <f>ROUND(P44*Q$60,2)+0.07</f>
        <v>0.07</v>
      </c>
      <c r="R44" s="74"/>
      <c r="S44" s="74"/>
      <c r="T44" s="75">
        <v>0</v>
      </c>
      <c r="U44" s="75">
        <v>515.32</v>
      </c>
      <c r="V44" s="76">
        <f t="shared" si="14"/>
        <v>515.3900000000001</v>
      </c>
      <c r="W44" s="77"/>
      <c r="X44" s="78">
        <f t="shared" si="30"/>
        <v>515.3900000000001</v>
      </c>
      <c r="Y44" s="79">
        <v>0</v>
      </c>
      <c r="Z44" s="79">
        <v>0</v>
      </c>
      <c r="AA44" s="79">
        <v>317966.91</v>
      </c>
      <c r="AB44" s="80">
        <v>16545017</v>
      </c>
      <c r="AC44" s="80">
        <v>9249069</v>
      </c>
      <c r="AD44" s="80">
        <v>0</v>
      </c>
      <c r="AE44" s="80">
        <v>11438971</v>
      </c>
      <c r="AF44" s="80">
        <v>0</v>
      </c>
      <c r="AG44" s="80">
        <v>689361.32</v>
      </c>
      <c r="AH44" s="81">
        <f t="shared" si="2"/>
        <v>38240900.62</v>
      </c>
      <c r="AI44" s="82">
        <v>35034100</v>
      </c>
      <c r="AJ44" s="82">
        <v>0</v>
      </c>
      <c r="AK44" s="82">
        <v>72628700</v>
      </c>
      <c r="AL44" s="82">
        <v>188674400</v>
      </c>
      <c r="AM44" s="82">
        <v>0</v>
      </c>
      <c r="AN44" s="82">
        <v>83518700</v>
      </c>
      <c r="AO44" s="83">
        <f t="shared" si="31"/>
        <v>379855900</v>
      </c>
      <c r="AP44" s="84">
        <v>2035000</v>
      </c>
      <c r="AQ44" s="84">
        <v>7506474.48</v>
      </c>
      <c r="AR44" s="84">
        <v>670000</v>
      </c>
      <c r="AS44" s="85">
        <f t="shared" si="32"/>
        <v>10211474.48</v>
      </c>
      <c r="AT44" s="82">
        <v>11750</v>
      </c>
      <c r="AU44" s="82">
        <v>45250</v>
      </c>
      <c r="AV44" s="82"/>
      <c r="AW44" s="82" t="s">
        <v>224</v>
      </c>
      <c r="AX44" s="82" t="s">
        <v>223</v>
      </c>
      <c r="AY44" s="82" t="s">
        <v>223</v>
      </c>
      <c r="AZ44" s="82"/>
      <c r="BA44" s="82"/>
      <c r="BB44" s="82"/>
      <c r="BC44" s="82"/>
      <c r="BD44" s="82" t="s">
        <v>266</v>
      </c>
      <c r="BE44" s="82"/>
      <c r="BF44" s="82" t="s">
        <v>225</v>
      </c>
      <c r="BG44" s="82" t="s">
        <v>225</v>
      </c>
      <c r="BH44" s="82" t="s">
        <v>225</v>
      </c>
      <c r="BI44" s="82" t="s">
        <v>225</v>
      </c>
      <c r="BJ44" s="82" t="s">
        <v>224</v>
      </c>
      <c r="BK44" s="82" t="s">
        <v>226</v>
      </c>
      <c r="BL44" s="86">
        <f t="shared" si="15"/>
        <v>0</v>
      </c>
      <c r="BM44" s="86"/>
      <c r="BN44" s="86"/>
      <c r="BO44" s="86"/>
      <c r="BP44" s="87"/>
      <c r="BQ44" s="77"/>
      <c r="BR44" s="77"/>
      <c r="BS44" s="88">
        <f>ROUNDUP(X44/I44*100,3)</f>
        <v>0.001</v>
      </c>
      <c r="BT44" s="88">
        <f t="shared" si="16"/>
        <v>0</v>
      </c>
      <c r="BU44" s="88">
        <f t="shared" si="17"/>
        <v>0</v>
      </c>
      <c r="BV44" s="88">
        <f t="shared" si="18"/>
        <v>0.015</v>
      </c>
      <c r="BW44" s="88">
        <f t="shared" si="19"/>
        <v>0.796</v>
      </c>
      <c r="BX44" s="88">
        <f t="shared" si="5"/>
        <v>0.445</v>
      </c>
      <c r="BY44" s="88">
        <f t="shared" si="6"/>
        <v>0</v>
      </c>
      <c r="BZ44" s="88">
        <f>ROUNDUP(AE44/I44*100,3)</f>
        <v>0.551</v>
      </c>
      <c r="CA44" s="88">
        <f t="shared" si="21"/>
        <v>0</v>
      </c>
      <c r="CB44" s="88">
        <f t="shared" si="22"/>
        <v>0.033</v>
      </c>
      <c r="CC44" s="88">
        <f t="shared" si="33"/>
        <v>1.841</v>
      </c>
      <c r="CD44" s="89">
        <f t="shared" si="34"/>
        <v>98.72</v>
      </c>
      <c r="CE44" s="88">
        <f t="shared" si="35"/>
        <v>1.8039112862681974</v>
      </c>
      <c r="CF44" s="90"/>
      <c r="CG44" s="86"/>
      <c r="CH44" s="86"/>
      <c r="CI44" s="86"/>
      <c r="CJ44" s="91"/>
      <c r="CK44" s="92" t="s">
        <v>262</v>
      </c>
      <c r="CL44" s="93" t="s">
        <v>229</v>
      </c>
      <c r="CM44" s="94">
        <v>1250468251</v>
      </c>
      <c r="CN44" s="94">
        <v>823812</v>
      </c>
      <c r="CO44" s="95">
        <f t="shared" si="23"/>
        <v>0.066</v>
      </c>
    </row>
    <row r="45" spans="1:93" s="96" customFormat="1" ht="17.25" customHeight="1">
      <c r="A45" s="62" t="s">
        <v>194</v>
      </c>
      <c r="B45" s="63" t="s">
        <v>195</v>
      </c>
      <c r="C45" s="64">
        <v>38062500</v>
      </c>
      <c r="D45" s="64">
        <v>47165500</v>
      </c>
      <c r="E45" s="65">
        <f t="shared" si="29"/>
        <v>85228000</v>
      </c>
      <c r="F45" s="66">
        <v>0</v>
      </c>
      <c r="G45" s="67">
        <f t="shared" si="10"/>
        <v>85228000</v>
      </c>
      <c r="H45" s="68">
        <v>116749</v>
      </c>
      <c r="I45" s="65">
        <f t="shared" si="11"/>
        <v>85344749</v>
      </c>
      <c r="J45" s="69">
        <f t="shared" si="12"/>
        <v>2.614</v>
      </c>
      <c r="K45" s="70">
        <v>103.2</v>
      </c>
      <c r="L45" s="71"/>
      <c r="M45" s="72"/>
      <c r="N45" s="64">
        <v>2484857</v>
      </c>
      <c r="O45" s="73">
        <v>0</v>
      </c>
      <c r="P45" s="65">
        <f t="shared" si="13"/>
        <v>82859892</v>
      </c>
      <c r="Q45" s="74">
        <f>ROUND(P45*Q$60,2)</f>
        <v>0</v>
      </c>
      <c r="R45" s="74"/>
      <c r="S45" s="74"/>
      <c r="T45" s="75">
        <v>0</v>
      </c>
      <c r="U45" s="75">
        <v>151.18</v>
      </c>
      <c r="V45" s="76">
        <f t="shared" si="14"/>
        <v>151.18</v>
      </c>
      <c r="W45" s="77"/>
      <c r="X45" s="78">
        <f t="shared" si="30"/>
        <v>151.18</v>
      </c>
      <c r="Y45" s="79">
        <v>14863.99</v>
      </c>
      <c r="Z45" s="79">
        <v>4363.25</v>
      </c>
      <c r="AA45" s="79">
        <v>12437.45</v>
      </c>
      <c r="AB45" s="80">
        <v>1577451</v>
      </c>
      <c r="AC45" s="80">
        <v>0</v>
      </c>
      <c r="AD45" s="80">
        <v>0</v>
      </c>
      <c r="AE45" s="80">
        <v>621350.46</v>
      </c>
      <c r="AF45" s="80">
        <v>0</v>
      </c>
      <c r="AG45" s="80">
        <v>0</v>
      </c>
      <c r="AH45" s="81">
        <f t="shared" si="2"/>
        <v>2230617.33</v>
      </c>
      <c r="AI45" s="82">
        <v>1285300</v>
      </c>
      <c r="AJ45" s="82">
        <v>0</v>
      </c>
      <c r="AK45" s="82">
        <v>7684000</v>
      </c>
      <c r="AL45" s="82">
        <v>648200</v>
      </c>
      <c r="AM45" s="82">
        <v>224800</v>
      </c>
      <c r="AN45" s="82">
        <v>0</v>
      </c>
      <c r="AO45" s="83">
        <f t="shared" si="31"/>
        <v>9842300</v>
      </c>
      <c r="AP45" s="84">
        <v>391000</v>
      </c>
      <c r="AQ45" s="84">
        <v>108849</v>
      </c>
      <c r="AR45" s="84">
        <v>45000</v>
      </c>
      <c r="AS45" s="85">
        <f t="shared" si="32"/>
        <v>544849</v>
      </c>
      <c r="AT45" s="82">
        <v>0</v>
      </c>
      <c r="AU45" s="82">
        <v>4000</v>
      </c>
      <c r="AV45" s="82"/>
      <c r="AW45" s="82" t="s">
        <v>224</v>
      </c>
      <c r="AX45" s="82" t="s">
        <v>223</v>
      </c>
      <c r="AY45" s="82" t="s">
        <v>223</v>
      </c>
      <c r="AZ45" s="82"/>
      <c r="BA45" s="82"/>
      <c r="BB45" s="82"/>
      <c r="BC45" s="82"/>
      <c r="BD45" s="82" t="s">
        <v>266</v>
      </c>
      <c r="BE45" s="82"/>
      <c r="BF45" s="82" t="s">
        <v>225</v>
      </c>
      <c r="BG45" s="82" t="s">
        <v>225</v>
      </c>
      <c r="BH45" s="82" t="s">
        <v>225</v>
      </c>
      <c r="BI45" s="82" t="s">
        <v>225</v>
      </c>
      <c r="BJ45" s="82" t="s">
        <v>224</v>
      </c>
      <c r="BK45" s="82" t="s">
        <v>226</v>
      </c>
      <c r="BL45" s="86">
        <f>SUM(AV45:BK45)</f>
        <v>0</v>
      </c>
      <c r="BM45" s="86"/>
      <c r="BN45" s="86"/>
      <c r="BO45" s="86"/>
      <c r="BP45" s="87"/>
      <c r="BQ45" s="77"/>
      <c r="BR45" s="77"/>
      <c r="BS45" s="88">
        <f t="shared" si="24"/>
        <v>0</v>
      </c>
      <c r="BT45" s="88">
        <f>ROUNDUP(Y45/I45*100,3)</f>
        <v>0.018000000000000002</v>
      </c>
      <c r="BU45" s="88">
        <f t="shared" si="17"/>
        <v>0.005</v>
      </c>
      <c r="BV45" s="88">
        <f t="shared" si="18"/>
        <v>0.015</v>
      </c>
      <c r="BW45" s="88">
        <f t="shared" si="19"/>
        <v>1.848</v>
      </c>
      <c r="BX45" s="88">
        <f t="shared" si="5"/>
        <v>0</v>
      </c>
      <c r="BY45" s="88">
        <f t="shared" si="6"/>
        <v>0</v>
      </c>
      <c r="BZ45" s="88">
        <f t="shared" si="20"/>
        <v>0.728</v>
      </c>
      <c r="CA45" s="88">
        <f t="shared" si="21"/>
        <v>0</v>
      </c>
      <c r="CB45" s="88">
        <f t="shared" si="22"/>
        <v>0</v>
      </c>
      <c r="CC45" s="88">
        <f t="shared" si="33"/>
        <v>2.614</v>
      </c>
      <c r="CD45" s="89">
        <f t="shared" si="34"/>
        <v>103.2</v>
      </c>
      <c r="CE45" s="88">
        <f t="shared" si="35"/>
        <v>2.6920350439269223</v>
      </c>
      <c r="CF45" s="90"/>
      <c r="CG45" s="86"/>
      <c r="CH45" s="86"/>
      <c r="CI45" s="86"/>
      <c r="CJ45" s="91"/>
      <c r="CK45" s="92" t="s">
        <v>263</v>
      </c>
      <c r="CL45" s="93" t="s">
        <v>228</v>
      </c>
      <c r="CM45" s="94">
        <v>793437678</v>
      </c>
      <c r="CN45" s="94">
        <v>424000</v>
      </c>
      <c r="CO45" s="95">
        <f t="shared" si="23"/>
        <v>0.054</v>
      </c>
    </row>
    <row r="46" spans="1:93" s="96" customFormat="1" ht="17.25" customHeight="1">
      <c r="A46" s="62" t="s">
        <v>196</v>
      </c>
      <c r="B46" s="63" t="s">
        <v>197</v>
      </c>
      <c r="C46" s="64">
        <v>1953795700</v>
      </c>
      <c r="D46" s="64">
        <v>1493487100</v>
      </c>
      <c r="E46" s="65">
        <f t="shared" si="29"/>
        <v>3447282800</v>
      </c>
      <c r="F46" s="66">
        <v>0</v>
      </c>
      <c r="G46" s="67">
        <f t="shared" si="10"/>
        <v>3447282800</v>
      </c>
      <c r="H46" s="68">
        <v>1126150</v>
      </c>
      <c r="I46" s="65">
        <f t="shared" si="11"/>
        <v>3448408950</v>
      </c>
      <c r="J46" s="69">
        <f t="shared" si="12"/>
        <v>1.1769999999999998</v>
      </c>
      <c r="K46" s="70">
        <v>102.09</v>
      </c>
      <c r="L46" s="71"/>
      <c r="M46" s="72"/>
      <c r="N46" s="64">
        <v>68619535</v>
      </c>
      <c r="O46" s="73">
        <v>0</v>
      </c>
      <c r="P46" s="65">
        <f t="shared" si="13"/>
        <v>3379789415</v>
      </c>
      <c r="Q46" s="74">
        <f>ROUND(P46*Q$60,2)+0.1</f>
        <v>0.1</v>
      </c>
      <c r="R46" s="74"/>
      <c r="S46" s="74"/>
      <c r="T46" s="75">
        <v>0</v>
      </c>
      <c r="U46" s="75">
        <v>35820.1</v>
      </c>
      <c r="V46" s="76">
        <f t="shared" si="14"/>
        <v>35820.2</v>
      </c>
      <c r="W46" s="77"/>
      <c r="X46" s="78">
        <f t="shared" si="30"/>
        <v>35820.2</v>
      </c>
      <c r="Y46" s="79">
        <v>608172.74</v>
      </c>
      <c r="Z46" s="79">
        <v>0</v>
      </c>
      <c r="AA46" s="79">
        <v>508862.84</v>
      </c>
      <c r="AB46" s="80">
        <v>15467271</v>
      </c>
      <c r="AC46" s="80">
        <v>12681878</v>
      </c>
      <c r="AD46" s="80">
        <v>0</v>
      </c>
      <c r="AE46" s="80">
        <v>11277086.38</v>
      </c>
      <c r="AF46" s="80">
        <v>0</v>
      </c>
      <c r="AG46" s="80">
        <v>0</v>
      </c>
      <c r="AH46" s="81">
        <f t="shared" si="2"/>
        <v>40579091.160000004</v>
      </c>
      <c r="AI46" s="82">
        <v>57175600</v>
      </c>
      <c r="AJ46" s="82">
        <v>37243900</v>
      </c>
      <c r="AK46" s="82">
        <v>61978900</v>
      </c>
      <c r="AL46" s="82">
        <v>12895400</v>
      </c>
      <c r="AM46" s="82">
        <v>357500</v>
      </c>
      <c r="AN46" s="82">
        <v>6882100</v>
      </c>
      <c r="AO46" s="83">
        <f t="shared" si="31"/>
        <v>176533400</v>
      </c>
      <c r="AP46" s="84">
        <v>2380000</v>
      </c>
      <c r="AQ46" s="84">
        <v>3590729.91</v>
      </c>
      <c r="AR46" s="84">
        <v>400000</v>
      </c>
      <c r="AS46" s="85">
        <f t="shared" si="32"/>
        <v>6370729.91</v>
      </c>
      <c r="AT46" s="82">
        <v>1500</v>
      </c>
      <c r="AU46" s="82">
        <v>32250</v>
      </c>
      <c r="AV46" s="82"/>
      <c r="AW46" s="82" t="s">
        <v>224</v>
      </c>
      <c r="AX46" s="82" t="s">
        <v>223</v>
      </c>
      <c r="AY46" s="82" t="s">
        <v>223</v>
      </c>
      <c r="AZ46" s="82"/>
      <c r="BA46" s="82"/>
      <c r="BB46" s="82"/>
      <c r="BC46" s="82"/>
      <c r="BD46" s="82" t="s">
        <v>266</v>
      </c>
      <c r="BE46" s="82"/>
      <c r="BF46" s="82" t="s">
        <v>225</v>
      </c>
      <c r="BG46" s="82" t="s">
        <v>225</v>
      </c>
      <c r="BH46" s="82" t="s">
        <v>225</v>
      </c>
      <c r="BI46" s="82" t="s">
        <v>225</v>
      </c>
      <c r="BJ46" s="82" t="s">
        <v>224</v>
      </c>
      <c r="BK46" s="82" t="s">
        <v>226</v>
      </c>
      <c r="BL46" s="86">
        <f t="shared" si="15"/>
        <v>0</v>
      </c>
      <c r="BM46" s="86"/>
      <c r="BN46" s="86"/>
      <c r="BO46" s="86"/>
      <c r="BP46" s="87"/>
      <c r="BQ46" s="77"/>
      <c r="BR46" s="77"/>
      <c r="BS46" s="88">
        <f t="shared" si="24"/>
        <v>0.001</v>
      </c>
      <c r="BT46" s="88">
        <f t="shared" si="16"/>
        <v>0.018</v>
      </c>
      <c r="BU46" s="88">
        <f t="shared" si="17"/>
        <v>0</v>
      </c>
      <c r="BV46" s="88">
        <f t="shared" si="18"/>
        <v>0.015</v>
      </c>
      <c r="BW46" s="88">
        <f>ROUND(AB46/I46*100,3)-0.001</f>
        <v>0.448</v>
      </c>
      <c r="BX46" s="88">
        <f t="shared" si="5"/>
        <v>0.368</v>
      </c>
      <c r="BY46" s="88">
        <f t="shared" si="6"/>
        <v>0</v>
      </c>
      <c r="BZ46" s="88">
        <f t="shared" si="20"/>
        <v>0.327</v>
      </c>
      <c r="CA46" s="88">
        <f t="shared" si="21"/>
        <v>0</v>
      </c>
      <c r="CB46" s="88">
        <f t="shared" si="22"/>
        <v>0</v>
      </c>
      <c r="CC46" s="88">
        <f t="shared" si="33"/>
        <v>1.1769999999999998</v>
      </c>
      <c r="CD46" s="89">
        <f t="shared" si="34"/>
        <v>102.09</v>
      </c>
      <c r="CE46" s="88">
        <f t="shared" si="35"/>
        <v>1.200639630975352</v>
      </c>
      <c r="CF46" s="90"/>
      <c r="CG46" s="86"/>
      <c r="CH46" s="86"/>
      <c r="CI46" s="86"/>
      <c r="CJ46" s="91"/>
      <c r="CK46" s="92" t="s">
        <v>263</v>
      </c>
      <c r="CL46" s="93" t="s">
        <v>229</v>
      </c>
      <c r="CM46" s="94">
        <v>2350562592</v>
      </c>
      <c r="CN46" s="94">
        <v>1127050</v>
      </c>
      <c r="CO46" s="95">
        <f t="shared" si="23"/>
        <v>0.048</v>
      </c>
    </row>
    <row r="47" spans="1:93" s="96" customFormat="1" ht="17.25" customHeight="1">
      <c r="A47" s="62" t="s">
        <v>198</v>
      </c>
      <c r="B47" s="63" t="s">
        <v>199</v>
      </c>
      <c r="C47" s="64">
        <v>477436400</v>
      </c>
      <c r="D47" s="64">
        <v>205719700</v>
      </c>
      <c r="E47" s="65">
        <f t="shared" si="29"/>
        <v>683156100</v>
      </c>
      <c r="F47" s="66">
        <v>0</v>
      </c>
      <c r="G47" s="67">
        <f t="shared" si="10"/>
        <v>683156100</v>
      </c>
      <c r="H47" s="68">
        <v>478436</v>
      </c>
      <c r="I47" s="65">
        <f t="shared" si="11"/>
        <v>683634536</v>
      </c>
      <c r="J47" s="69">
        <f t="shared" si="12"/>
        <v>1.063</v>
      </c>
      <c r="K47" s="70">
        <v>107.99</v>
      </c>
      <c r="L47" s="71"/>
      <c r="M47" s="72"/>
      <c r="N47" s="64">
        <v>48026199</v>
      </c>
      <c r="O47" s="73">
        <v>0</v>
      </c>
      <c r="P47" s="65">
        <f t="shared" si="13"/>
        <v>635608337</v>
      </c>
      <c r="Q47" s="74">
        <f>ROUND(P47*Q$60,2)+0.02</f>
        <v>0.02</v>
      </c>
      <c r="R47" s="74"/>
      <c r="S47" s="74"/>
      <c r="T47" s="75">
        <v>0</v>
      </c>
      <c r="U47" s="75">
        <v>4950.57</v>
      </c>
      <c r="V47" s="76">
        <f t="shared" si="14"/>
        <v>4950.59</v>
      </c>
      <c r="W47" s="77"/>
      <c r="X47" s="78">
        <f t="shared" si="30"/>
        <v>4950.59</v>
      </c>
      <c r="Y47" s="79">
        <v>114256.79</v>
      </c>
      <c r="Z47" s="79">
        <v>0</v>
      </c>
      <c r="AA47" s="79">
        <v>95605.67</v>
      </c>
      <c r="AB47" s="80">
        <v>849456</v>
      </c>
      <c r="AC47" s="80">
        <v>2124346</v>
      </c>
      <c r="AD47" s="80">
        <v>0</v>
      </c>
      <c r="AE47" s="80">
        <v>4072171</v>
      </c>
      <c r="AF47" s="80">
        <v>0</v>
      </c>
      <c r="AG47" s="80">
        <v>0</v>
      </c>
      <c r="AH47" s="81">
        <f t="shared" si="2"/>
        <v>7260786.05</v>
      </c>
      <c r="AI47" s="82">
        <v>0</v>
      </c>
      <c r="AJ47" s="82">
        <v>0</v>
      </c>
      <c r="AK47" s="82">
        <v>37083400</v>
      </c>
      <c r="AL47" s="82">
        <v>1642400</v>
      </c>
      <c r="AM47" s="82">
        <v>0</v>
      </c>
      <c r="AN47" s="82">
        <v>1692000</v>
      </c>
      <c r="AO47" s="83">
        <f t="shared" si="31"/>
        <v>40417800</v>
      </c>
      <c r="AP47" s="84">
        <v>598760.68</v>
      </c>
      <c r="AQ47" s="84">
        <v>1238602.32</v>
      </c>
      <c r="AR47" s="84">
        <v>202283</v>
      </c>
      <c r="AS47" s="85">
        <f t="shared" si="32"/>
        <v>2039646</v>
      </c>
      <c r="AT47" s="82">
        <v>1000</v>
      </c>
      <c r="AU47" s="82">
        <v>11750</v>
      </c>
      <c r="AV47" s="82"/>
      <c r="AW47" s="82" t="s">
        <v>224</v>
      </c>
      <c r="AX47" s="82" t="s">
        <v>223</v>
      </c>
      <c r="AY47" s="82" t="s">
        <v>223</v>
      </c>
      <c r="AZ47" s="82"/>
      <c r="BA47" s="82"/>
      <c r="BB47" s="82"/>
      <c r="BC47" s="82"/>
      <c r="BD47" s="82" t="s">
        <v>266</v>
      </c>
      <c r="BE47" s="82"/>
      <c r="BF47" s="82" t="s">
        <v>225</v>
      </c>
      <c r="BG47" s="82" t="s">
        <v>225</v>
      </c>
      <c r="BH47" s="82" t="s">
        <v>225</v>
      </c>
      <c r="BI47" s="82" t="s">
        <v>225</v>
      </c>
      <c r="BJ47" s="82" t="s">
        <v>224</v>
      </c>
      <c r="BK47" s="82" t="s">
        <v>226</v>
      </c>
      <c r="BL47" s="86">
        <f t="shared" si="15"/>
        <v>0</v>
      </c>
      <c r="BM47" s="86"/>
      <c r="BN47" s="86"/>
      <c r="BO47" s="86"/>
      <c r="BP47" s="87"/>
      <c r="BQ47" s="77"/>
      <c r="BR47" s="77"/>
      <c r="BS47" s="88">
        <f t="shared" si="24"/>
        <v>0.001</v>
      </c>
      <c r="BT47" s="88">
        <f t="shared" si="16"/>
        <v>0.017</v>
      </c>
      <c r="BU47" s="88">
        <f t="shared" si="17"/>
        <v>0</v>
      </c>
      <c r="BV47" s="88">
        <f t="shared" si="18"/>
        <v>0.014</v>
      </c>
      <c r="BW47" s="88">
        <f t="shared" si="19"/>
        <v>0.124</v>
      </c>
      <c r="BX47" s="88">
        <f t="shared" si="5"/>
        <v>0.311</v>
      </c>
      <c r="BY47" s="88">
        <f t="shared" si="6"/>
        <v>0</v>
      </c>
      <c r="BZ47" s="88">
        <f t="shared" si="20"/>
        <v>0.596</v>
      </c>
      <c r="CA47" s="88">
        <f t="shared" si="21"/>
        <v>0</v>
      </c>
      <c r="CB47" s="88">
        <f t="shared" si="22"/>
        <v>0</v>
      </c>
      <c r="CC47" s="88">
        <f t="shared" si="33"/>
        <v>1.063</v>
      </c>
      <c r="CD47" s="89">
        <f t="shared" si="34"/>
        <v>107.99</v>
      </c>
      <c r="CE47" s="88">
        <f t="shared" si="35"/>
        <v>1.1423365030531372</v>
      </c>
      <c r="CF47" s="90"/>
      <c r="CG47" s="86"/>
      <c r="CH47" s="86"/>
      <c r="CI47" s="86"/>
      <c r="CJ47" s="91"/>
      <c r="CK47" s="92" t="s">
        <v>263</v>
      </c>
      <c r="CL47" s="93" t="s">
        <v>250</v>
      </c>
      <c r="CM47" s="94">
        <v>2804772889</v>
      </c>
      <c r="CN47" s="94">
        <v>1150000</v>
      </c>
      <c r="CO47" s="95">
        <f>ROUNDUP(CN47/CM47*100,3)-0.001</f>
        <v>0.041</v>
      </c>
    </row>
    <row r="48" spans="1:93" s="96" customFormat="1" ht="17.25" customHeight="1">
      <c r="A48" s="62" t="s">
        <v>200</v>
      </c>
      <c r="B48" s="63" t="s">
        <v>201</v>
      </c>
      <c r="C48" s="64">
        <v>1656312000</v>
      </c>
      <c r="D48" s="64">
        <v>633252800</v>
      </c>
      <c r="E48" s="65">
        <f t="shared" si="29"/>
        <v>2289564800</v>
      </c>
      <c r="F48" s="66">
        <v>0</v>
      </c>
      <c r="G48" s="67">
        <f t="shared" si="10"/>
        <v>2289564800</v>
      </c>
      <c r="H48" s="68">
        <v>0</v>
      </c>
      <c r="I48" s="65">
        <f t="shared" si="11"/>
        <v>2289564800</v>
      </c>
      <c r="J48" s="69">
        <f t="shared" si="12"/>
        <v>0.447</v>
      </c>
      <c r="K48" s="70">
        <v>99.73</v>
      </c>
      <c r="L48" s="71"/>
      <c r="M48" s="72"/>
      <c r="N48" s="64">
        <v>0</v>
      </c>
      <c r="O48" s="73">
        <v>7512414</v>
      </c>
      <c r="P48" s="65">
        <f t="shared" si="13"/>
        <v>2297077214</v>
      </c>
      <c r="Q48" s="74">
        <f>ROUND(P48*Q$60,2)+0.07</f>
        <v>0.07</v>
      </c>
      <c r="R48" s="74"/>
      <c r="S48" s="74"/>
      <c r="T48" s="75">
        <v>0</v>
      </c>
      <c r="U48" s="75">
        <v>8950.67</v>
      </c>
      <c r="V48" s="76">
        <f t="shared" si="14"/>
        <v>8950.74</v>
      </c>
      <c r="W48" s="77"/>
      <c r="X48" s="78">
        <f t="shared" si="30"/>
        <v>8950.74</v>
      </c>
      <c r="Y48" s="79">
        <v>412355.46</v>
      </c>
      <c r="Z48" s="79">
        <v>0</v>
      </c>
      <c r="AA48" s="79">
        <v>345057.59</v>
      </c>
      <c r="AB48" s="80">
        <v>4424826</v>
      </c>
      <c r="AC48" s="80">
        <v>0</v>
      </c>
      <c r="AD48" s="80">
        <v>0</v>
      </c>
      <c r="AE48" s="80">
        <v>5042520.74</v>
      </c>
      <c r="AF48" s="80">
        <v>0</v>
      </c>
      <c r="AG48" s="80">
        <v>0</v>
      </c>
      <c r="AH48" s="81">
        <f t="shared" si="2"/>
        <v>10233710.530000001</v>
      </c>
      <c r="AI48" s="82">
        <v>8863200</v>
      </c>
      <c r="AJ48" s="82">
        <v>0</v>
      </c>
      <c r="AK48" s="82">
        <v>352479000</v>
      </c>
      <c r="AL48" s="82">
        <v>10721600</v>
      </c>
      <c r="AM48" s="82">
        <v>0</v>
      </c>
      <c r="AN48" s="82">
        <v>839300</v>
      </c>
      <c r="AO48" s="83">
        <f t="shared" si="31"/>
        <v>372903100</v>
      </c>
      <c r="AP48" s="84">
        <v>655000</v>
      </c>
      <c r="AQ48" s="84">
        <v>518540</v>
      </c>
      <c r="AR48" s="84">
        <v>130000</v>
      </c>
      <c r="AS48" s="85">
        <f t="shared" si="32"/>
        <v>1303540</v>
      </c>
      <c r="AT48" s="82">
        <v>500</v>
      </c>
      <c r="AU48" s="82">
        <v>19750</v>
      </c>
      <c r="AV48" s="82"/>
      <c r="AW48" s="82" t="s">
        <v>224</v>
      </c>
      <c r="AX48" s="82" t="s">
        <v>223</v>
      </c>
      <c r="AY48" s="82" t="s">
        <v>223</v>
      </c>
      <c r="AZ48" s="82"/>
      <c r="BA48" s="82"/>
      <c r="BB48" s="82"/>
      <c r="BC48" s="82"/>
      <c r="BD48" s="82" t="s">
        <v>266</v>
      </c>
      <c r="BE48" s="82"/>
      <c r="BF48" s="82" t="s">
        <v>225</v>
      </c>
      <c r="BG48" s="82" t="s">
        <v>225</v>
      </c>
      <c r="BH48" s="82" t="s">
        <v>225</v>
      </c>
      <c r="BI48" s="82" t="s">
        <v>225</v>
      </c>
      <c r="BJ48" s="82" t="s">
        <v>224</v>
      </c>
      <c r="BK48" s="82" t="s">
        <v>226</v>
      </c>
      <c r="BL48" s="86">
        <f t="shared" si="15"/>
        <v>0</v>
      </c>
      <c r="BM48" s="86"/>
      <c r="BN48" s="86"/>
      <c r="BO48" s="86"/>
      <c r="BP48" s="87"/>
      <c r="BQ48" s="77"/>
      <c r="BR48" s="77"/>
      <c r="BS48" s="88">
        <f>ROUNDUP(X48/I48*100,3)</f>
        <v>0.001</v>
      </c>
      <c r="BT48" s="88">
        <f t="shared" si="16"/>
        <v>0.018</v>
      </c>
      <c r="BU48" s="88">
        <f t="shared" si="17"/>
        <v>0</v>
      </c>
      <c r="BV48" s="88">
        <f t="shared" si="18"/>
        <v>0.015</v>
      </c>
      <c r="BW48" s="88">
        <f t="shared" si="19"/>
        <v>0.193</v>
      </c>
      <c r="BX48" s="88">
        <f t="shared" si="5"/>
        <v>0</v>
      </c>
      <c r="BY48" s="88">
        <f t="shared" si="6"/>
        <v>0</v>
      </c>
      <c r="BZ48" s="88">
        <f t="shared" si="20"/>
        <v>0.22</v>
      </c>
      <c r="CA48" s="88">
        <f t="shared" si="21"/>
        <v>0</v>
      </c>
      <c r="CB48" s="88">
        <f t="shared" si="22"/>
        <v>0</v>
      </c>
      <c r="CC48" s="88">
        <f t="shared" si="33"/>
        <v>0.447</v>
      </c>
      <c r="CD48" s="89">
        <f t="shared" si="34"/>
        <v>99.73</v>
      </c>
      <c r="CE48" s="88">
        <f t="shared" si="35"/>
        <v>0.445510079836611</v>
      </c>
      <c r="CF48" s="90"/>
      <c r="CG48" s="86"/>
      <c r="CH48" s="86"/>
      <c r="CI48" s="86"/>
      <c r="CJ48" s="91"/>
      <c r="CO48" s="99"/>
    </row>
    <row r="49" spans="1:93" s="96" customFormat="1" ht="17.25" customHeight="1">
      <c r="A49" s="62" t="s">
        <v>202</v>
      </c>
      <c r="B49" s="63" t="s">
        <v>203</v>
      </c>
      <c r="C49" s="64">
        <v>491986900</v>
      </c>
      <c r="D49" s="64">
        <v>624662100</v>
      </c>
      <c r="E49" s="65">
        <f aca="true" t="shared" si="36" ref="E49:E58">C49+D49</f>
        <v>1116649000</v>
      </c>
      <c r="F49" s="66">
        <v>0</v>
      </c>
      <c r="G49" s="67">
        <f t="shared" si="10"/>
        <v>1116649000</v>
      </c>
      <c r="H49" s="68">
        <v>1113711</v>
      </c>
      <c r="I49" s="65">
        <f t="shared" si="11"/>
        <v>1117762711</v>
      </c>
      <c r="J49" s="69">
        <f t="shared" si="12"/>
        <v>1.8439999999999999</v>
      </c>
      <c r="K49" s="70">
        <v>98.41</v>
      </c>
      <c r="L49" s="71"/>
      <c r="M49" s="72"/>
      <c r="N49" s="64">
        <v>0</v>
      </c>
      <c r="O49" s="73">
        <v>22189196</v>
      </c>
      <c r="P49" s="65">
        <f t="shared" si="13"/>
        <v>1139951907</v>
      </c>
      <c r="Q49" s="74">
        <f>ROUND(P49*Q$60,2)+0.03</f>
        <v>0.03</v>
      </c>
      <c r="R49" s="74"/>
      <c r="S49" s="74"/>
      <c r="T49" s="75">
        <v>1066.47</v>
      </c>
      <c r="U49" s="75">
        <v>0</v>
      </c>
      <c r="V49" s="76">
        <f t="shared" si="14"/>
        <v>-1066.44</v>
      </c>
      <c r="W49" s="77"/>
      <c r="X49" s="78">
        <f aca="true" t="shared" si="37" ref="X49:X58">V49-W49</f>
        <v>-1066.44</v>
      </c>
      <c r="Y49" s="79">
        <v>204291.14</v>
      </c>
      <c r="Z49" s="79">
        <v>0</v>
      </c>
      <c r="AA49" s="79">
        <v>170934.92</v>
      </c>
      <c r="AB49" s="80">
        <v>7649492</v>
      </c>
      <c r="AC49" s="80">
        <v>5339616</v>
      </c>
      <c r="AD49" s="80">
        <v>0</v>
      </c>
      <c r="AE49" s="80">
        <v>7137179.2</v>
      </c>
      <c r="AF49" s="80">
        <v>107445.6</v>
      </c>
      <c r="AG49" s="80">
        <v>0</v>
      </c>
      <c r="AH49" s="81">
        <f t="shared" si="2"/>
        <v>20607892.42</v>
      </c>
      <c r="AI49" s="82">
        <v>7340700</v>
      </c>
      <c r="AJ49" s="82">
        <v>1302200</v>
      </c>
      <c r="AK49" s="82">
        <v>20993200</v>
      </c>
      <c r="AL49" s="82">
        <v>10969500</v>
      </c>
      <c r="AM49" s="82">
        <v>0</v>
      </c>
      <c r="AN49" s="82">
        <v>21453800</v>
      </c>
      <c r="AO49" s="83">
        <f aca="true" t="shared" si="38" ref="AO49:AO58">SUM(AI49:AN49)</f>
        <v>62059400</v>
      </c>
      <c r="AP49" s="84">
        <v>840000</v>
      </c>
      <c r="AQ49" s="84">
        <v>1188693.03</v>
      </c>
      <c r="AR49" s="84">
        <v>170000</v>
      </c>
      <c r="AS49" s="85">
        <f aca="true" t="shared" si="39" ref="AS49:AS58">SUM(AP49:AR49)</f>
        <v>2198693.0300000003</v>
      </c>
      <c r="AT49" s="82">
        <v>500</v>
      </c>
      <c r="AU49" s="82">
        <v>30000</v>
      </c>
      <c r="AV49" s="82"/>
      <c r="AW49" s="82" t="s">
        <v>224</v>
      </c>
      <c r="AX49" s="82" t="s">
        <v>223</v>
      </c>
      <c r="AY49" s="82" t="s">
        <v>223</v>
      </c>
      <c r="AZ49" s="82"/>
      <c r="BA49" s="82"/>
      <c r="BB49" s="82"/>
      <c r="BC49" s="82"/>
      <c r="BD49" s="82" t="s">
        <v>266</v>
      </c>
      <c r="BE49" s="82"/>
      <c r="BF49" s="82" t="s">
        <v>225</v>
      </c>
      <c r="BG49" s="82" t="s">
        <v>225</v>
      </c>
      <c r="BH49" s="82" t="s">
        <v>225</v>
      </c>
      <c r="BI49" s="82" t="s">
        <v>225</v>
      </c>
      <c r="BJ49" s="82" t="s">
        <v>224</v>
      </c>
      <c r="BK49" s="82" t="s">
        <v>226</v>
      </c>
      <c r="BL49" s="86">
        <f t="shared" si="15"/>
        <v>0</v>
      </c>
      <c r="BM49" s="86"/>
      <c r="BN49" s="86"/>
      <c r="BO49" s="86"/>
      <c r="BP49" s="87"/>
      <c r="BQ49" s="77"/>
      <c r="BR49" s="77"/>
      <c r="BS49" s="88">
        <f t="shared" si="24"/>
        <v>0</v>
      </c>
      <c r="BT49" s="88">
        <f t="shared" si="16"/>
        <v>0.018</v>
      </c>
      <c r="BU49" s="88">
        <f t="shared" si="17"/>
        <v>0</v>
      </c>
      <c r="BV49" s="88">
        <f t="shared" si="18"/>
        <v>0.015</v>
      </c>
      <c r="BW49" s="88">
        <f t="shared" si="19"/>
        <v>0.684</v>
      </c>
      <c r="BX49" s="88">
        <f t="shared" si="5"/>
        <v>0.478</v>
      </c>
      <c r="BY49" s="88">
        <f t="shared" si="6"/>
        <v>0</v>
      </c>
      <c r="BZ49" s="88">
        <f t="shared" si="20"/>
        <v>0.639</v>
      </c>
      <c r="CA49" s="88">
        <f t="shared" si="21"/>
        <v>0.01</v>
      </c>
      <c r="CB49" s="88">
        <f t="shared" si="22"/>
        <v>0</v>
      </c>
      <c r="CC49" s="88">
        <f t="shared" si="33"/>
        <v>1.8439999999999999</v>
      </c>
      <c r="CD49" s="89">
        <f t="shared" si="34"/>
        <v>98.41</v>
      </c>
      <c r="CE49" s="88">
        <f t="shared" si="35"/>
        <v>1.8077861261913746</v>
      </c>
      <c r="CF49" s="90"/>
      <c r="CG49" s="86"/>
      <c r="CH49" s="86"/>
      <c r="CI49" s="86"/>
      <c r="CJ49" s="91"/>
      <c r="CO49" s="99"/>
    </row>
    <row r="50" spans="1:93" s="96" customFormat="1" ht="17.25" customHeight="1">
      <c r="A50" s="62" t="s">
        <v>204</v>
      </c>
      <c r="B50" s="63" t="s">
        <v>205</v>
      </c>
      <c r="C50" s="64">
        <v>30443400</v>
      </c>
      <c r="D50" s="64">
        <v>22097100</v>
      </c>
      <c r="E50" s="65">
        <f t="shared" si="36"/>
        <v>52540500</v>
      </c>
      <c r="F50" s="66">
        <v>0</v>
      </c>
      <c r="G50" s="67">
        <f t="shared" si="10"/>
        <v>52540500</v>
      </c>
      <c r="H50" s="68">
        <v>403895</v>
      </c>
      <c r="I50" s="65">
        <f t="shared" si="11"/>
        <v>52944395</v>
      </c>
      <c r="J50" s="69">
        <f t="shared" si="12"/>
        <v>2.703</v>
      </c>
      <c r="K50" s="70">
        <v>101.84</v>
      </c>
      <c r="L50" s="71"/>
      <c r="M50" s="72"/>
      <c r="N50" s="64">
        <v>925569</v>
      </c>
      <c r="O50" s="73">
        <v>0</v>
      </c>
      <c r="P50" s="65">
        <f t="shared" si="13"/>
        <v>52018826</v>
      </c>
      <c r="Q50" s="74">
        <f>ROUND(P50*Q$60,2)</f>
        <v>0</v>
      </c>
      <c r="R50" s="74"/>
      <c r="S50" s="74"/>
      <c r="T50" s="75">
        <v>0</v>
      </c>
      <c r="U50" s="75">
        <v>77.41</v>
      </c>
      <c r="V50" s="76">
        <f t="shared" si="14"/>
        <v>77.41</v>
      </c>
      <c r="W50" s="77"/>
      <c r="X50" s="78">
        <f t="shared" si="37"/>
        <v>77.41</v>
      </c>
      <c r="Y50" s="79">
        <v>9330.46</v>
      </c>
      <c r="Z50" s="79">
        <v>2738.91</v>
      </c>
      <c r="AA50" s="79">
        <v>7807.21</v>
      </c>
      <c r="AB50" s="80">
        <v>333278</v>
      </c>
      <c r="AC50" s="80">
        <v>308552</v>
      </c>
      <c r="AD50" s="80">
        <v>0</v>
      </c>
      <c r="AE50" s="80">
        <v>769262.4</v>
      </c>
      <c r="AF50" s="80">
        <v>0</v>
      </c>
      <c r="AG50" s="80">
        <v>0</v>
      </c>
      <c r="AH50" s="81">
        <f t="shared" si="2"/>
        <v>1431046.3900000001</v>
      </c>
      <c r="AI50" s="82">
        <v>0</v>
      </c>
      <c r="AJ50" s="82">
        <v>0</v>
      </c>
      <c r="AK50" s="82">
        <v>1896700</v>
      </c>
      <c r="AL50" s="82">
        <v>0</v>
      </c>
      <c r="AM50" s="82">
        <v>0</v>
      </c>
      <c r="AN50" s="82">
        <v>0</v>
      </c>
      <c r="AO50" s="83">
        <f t="shared" si="38"/>
        <v>1896700</v>
      </c>
      <c r="AP50" s="84">
        <v>50000</v>
      </c>
      <c r="AQ50" s="84">
        <v>96228</v>
      </c>
      <c r="AR50" s="84">
        <v>3129</v>
      </c>
      <c r="AS50" s="85">
        <f t="shared" si="39"/>
        <v>149357</v>
      </c>
      <c r="AT50" s="82">
        <v>2500</v>
      </c>
      <c r="AU50" s="82">
        <v>2500</v>
      </c>
      <c r="AV50" s="82"/>
      <c r="AW50" s="82" t="s">
        <v>224</v>
      </c>
      <c r="AX50" s="82" t="s">
        <v>223</v>
      </c>
      <c r="AY50" s="82" t="s">
        <v>223</v>
      </c>
      <c r="AZ50" s="82"/>
      <c r="BA50" s="82"/>
      <c r="BB50" s="82"/>
      <c r="BC50" s="82"/>
      <c r="BD50" s="82" t="s">
        <v>266</v>
      </c>
      <c r="BE50" s="82"/>
      <c r="BF50" s="82" t="s">
        <v>225</v>
      </c>
      <c r="BG50" s="82" t="s">
        <v>225</v>
      </c>
      <c r="BH50" s="82" t="s">
        <v>225</v>
      </c>
      <c r="BI50" s="82" t="s">
        <v>225</v>
      </c>
      <c r="BJ50" s="82" t="s">
        <v>224</v>
      </c>
      <c r="BK50" s="82" t="s">
        <v>226</v>
      </c>
      <c r="BL50" s="86">
        <f t="shared" si="15"/>
        <v>0</v>
      </c>
      <c r="BM50" s="86"/>
      <c r="BN50" s="86"/>
      <c r="BO50" s="86"/>
      <c r="BP50" s="87"/>
      <c r="BQ50" s="77"/>
      <c r="BR50" s="77"/>
      <c r="BS50" s="88">
        <f t="shared" si="24"/>
        <v>0</v>
      </c>
      <c r="BT50" s="88">
        <f t="shared" si="16"/>
        <v>0.018</v>
      </c>
      <c r="BU50" s="88">
        <f t="shared" si="17"/>
        <v>0.005</v>
      </c>
      <c r="BV50" s="88">
        <f t="shared" si="18"/>
        <v>0.015</v>
      </c>
      <c r="BW50" s="88">
        <f t="shared" si="19"/>
        <v>0.629</v>
      </c>
      <c r="BX50" s="88">
        <f t="shared" si="5"/>
        <v>0.583</v>
      </c>
      <c r="BY50" s="88">
        <f t="shared" si="6"/>
        <v>0</v>
      </c>
      <c r="BZ50" s="88">
        <f t="shared" si="20"/>
        <v>1.453</v>
      </c>
      <c r="CA50" s="88">
        <f t="shared" si="21"/>
        <v>0</v>
      </c>
      <c r="CB50" s="88">
        <f t="shared" si="22"/>
        <v>0</v>
      </c>
      <c r="CC50" s="88">
        <f t="shared" si="33"/>
        <v>2.703</v>
      </c>
      <c r="CD50" s="89">
        <f t="shared" si="34"/>
        <v>101.84</v>
      </c>
      <c r="CE50" s="88">
        <f t="shared" si="35"/>
        <v>2.7510163147472806</v>
      </c>
      <c r="CF50" s="90"/>
      <c r="CG50" s="86"/>
      <c r="CH50" s="86"/>
      <c r="CI50" s="86"/>
      <c r="CJ50" s="91"/>
      <c r="CO50" s="99"/>
    </row>
    <row r="51" spans="1:93" s="96" customFormat="1" ht="17.25" customHeight="1">
      <c r="A51" s="62" t="s">
        <v>206</v>
      </c>
      <c r="B51" s="63" t="s">
        <v>207</v>
      </c>
      <c r="C51" s="64">
        <v>239084700</v>
      </c>
      <c r="D51" s="64">
        <v>134449100</v>
      </c>
      <c r="E51" s="65">
        <f t="shared" si="36"/>
        <v>373533800</v>
      </c>
      <c r="F51" s="66">
        <v>0</v>
      </c>
      <c r="G51" s="67">
        <f t="shared" si="10"/>
        <v>373533800</v>
      </c>
      <c r="H51" s="68">
        <v>0</v>
      </c>
      <c r="I51" s="65">
        <f t="shared" si="11"/>
        <v>373533800</v>
      </c>
      <c r="J51" s="69">
        <f t="shared" si="12"/>
        <v>1.492</v>
      </c>
      <c r="K51" s="70">
        <v>95.99</v>
      </c>
      <c r="L51" s="71"/>
      <c r="M51" s="72"/>
      <c r="N51" s="64">
        <v>0</v>
      </c>
      <c r="O51" s="73">
        <v>16076375</v>
      </c>
      <c r="P51" s="65">
        <f t="shared" si="13"/>
        <v>389610175</v>
      </c>
      <c r="Q51" s="74">
        <f>ROUND(P51*Q$60,2)+0.01</f>
        <v>0.01</v>
      </c>
      <c r="R51" s="74"/>
      <c r="S51" s="74"/>
      <c r="T51" s="75">
        <v>0</v>
      </c>
      <c r="U51" s="75">
        <v>3505.06</v>
      </c>
      <c r="V51" s="76">
        <f t="shared" si="14"/>
        <v>3505.07</v>
      </c>
      <c r="W51" s="77"/>
      <c r="X51" s="78">
        <f t="shared" si="37"/>
        <v>3505.07</v>
      </c>
      <c r="Y51" s="79">
        <v>70075.3</v>
      </c>
      <c r="Z51" s="79">
        <v>20569.99</v>
      </c>
      <c r="AA51" s="79">
        <v>58630.4</v>
      </c>
      <c r="AB51" s="80">
        <v>2686162</v>
      </c>
      <c r="AC51" s="80">
        <v>0</v>
      </c>
      <c r="AD51" s="80">
        <v>0</v>
      </c>
      <c r="AE51" s="80">
        <v>2731307.12</v>
      </c>
      <c r="AF51" s="80">
        <v>0</v>
      </c>
      <c r="AG51" s="80">
        <v>0</v>
      </c>
      <c r="AH51" s="81">
        <f t="shared" si="2"/>
        <v>5570249.88</v>
      </c>
      <c r="AI51" s="82">
        <v>0</v>
      </c>
      <c r="AJ51" s="82">
        <v>2931900</v>
      </c>
      <c r="AK51" s="82">
        <v>4642100</v>
      </c>
      <c r="AL51" s="82">
        <v>1450800</v>
      </c>
      <c r="AM51" s="82">
        <v>0</v>
      </c>
      <c r="AN51" s="82">
        <v>880600</v>
      </c>
      <c r="AO51" s="83">
        <f t="shared" si="38"/>
        <v>9905400</v>
      </c>
      <c r="AP51" s="84">
        <v>244000</v>
      </c>
      <c r="AQ51" s="84">
        <v>1058158.15</v>
      </c>
      <c r="AR51" s="84">
        <v>105000</v>
      </c>
      <c r="AS51" s="85">
        <f t="shared" si="39"/>
        <v>1407158.15</v>
      </c>
      <c r="AT51" s="82">
        <v>1750</v>
      </c>
      <c r="AU51" s="82">
        <v>10000</v>
      </c>
      <c r="AV51" s="82"/>
      <c r="AW51" s="82" t="s">
        <v>224</v>
      </c>
      <c r="AX51" s="82" t="s">
        <v>223</v>
      </c>
      <c r="AY51" s="82" t="s">
        <v>223</v>
      </c>
      <c r="AZ51" s="82"/>
      <c r="BA51" s="82"/>
      <c r="BB51" s="82"/>
      <c r="BC51" s="82"/>
      <c r="BD51" s="82" t="s">
        <v>266</v>
      </c>
      <c r="BE51" s="82"/>
      <c r="BF51" s="82" t="s">
        <v>225</v>
      </c>
      <c r="BG51" s="82" t="s">
        <v>225</v>
      </c>
      <c r="BH51" s="82" t="s">
        <v>225</v>
      </c>
      <c r="BI51" s="82" t="s">
        <v>225</v>
      </c>
      <c r="BJ51" s="82" t="s">
        <v>224</v>
      </c>
      <c r="BK51" s="82" t="s">
        <v>226</v>
      </c>
      <c r="BL51" s="86">
        <f t="shared" si="15"/>
        <v>0</v>
      </c>
      <c r="BM51" s="86"/>
      <c r="BN51" s="86"/>
      <c r="BO51" s="86"/>
      <c r="BP51" s="87"/>
      <c r="BQ51" s="77"/>
      <c r="BR51" s="77"/>
      <c r="BS51" s="88">
        <f t="shared" si="24"/>
        <v>0.001</v>
      </c>
      <c r="BT51" s="88">
        <f t="shared" si="16"/>
        <v>0.019</v>
      </c>
      <c r="BU51" s="88">
        <f t="shared" si="17"/>
        <v>0.006</v>
      </c>
      <c r="BV51" s="88">
        <f t="shared" si="18"/>
        <v>0.016</v>
      </c>
      <c r="BW51" s="88">
        <f t="shared" si="19"/>
        <v>0.719</v>
      </c>
      <c r="BX51" s="88">
        <f t="shared" si="5"/>
        <v>0</v>
      </c>
      <c r="BY51" s="88">
        <f t="shared" si="6"/>
        <v>0</v>
      </c>
      <c r="BZ51" s="88">
        <f t="shared" si="20"/>
        <v>0.731</v>
      </c>
      <c r="CA51" s="88">
        <f t="shared" si="21"/>
        <v>0</v>
      </c>
      <c r="CB51" s="88">
        <f t="shared" si="22"/>
        <v>0</v>
      </c>
      <c r="CC51" s="88">
        <f t="shared" si="33"/>
        <v>1.492</v>
      </c>
      <c r="CD51" s="89">
        <f t="shared" si="34"/>
        <v>95.99</v>
      </c>
      <c r="CE51" s="88">
        <f t="shared" si="35"/>
        <v>1.4296982567254564</v>
      </c>
      <c r="CF51" s="90"/>
      <c r="CG51" s="86"/>
      <c r="CH51" s="86"/>
      <c r="CI51" s="86"/>
      <c r="CJ51" s="91"/>
      <c r="CO51" s="99"/>
    </row>
    <row r="52" spans="1:93" s="96" customFormat="1" ht="17.25" customHeight="1">
      <c r="A52" s="62" t="s">
        <v>208</v>
      </c>
      <c r="B52" s="63" t="s">
        <v>209</v>
      </c>
      <c r="C52" s="64">
        <v>2447026600</v>
      </c>
      <c r="D52" s="64">
        <v>1081108700</v>
      </c>
      <c r="E52" s="65">
        <f t="shared" si="36"/>
        <v>3528135300</v>
      </c>
      <c r="F52" s="66">
        <v>0</v>
      </c>
      <c r="G52" s="67">
        <f t="shared" si="10"/>
        <v>3528135300</v>
      </c>
      <c r="H52" s="68">
        <v>0</v>
      </c>
      <c r="I52" s="65">
        <f t="shared" si="11"/>
        <v>3528135300</v>
      </c>
      <c r="J52" s="69">
        <f t="shared" si="12"/>
        <v>0.415</v>
      </c>
      <c r="K52" s="70">
        <v>97.64</v>
      </c>
      <c r="L52" s="71"/>
      <c r="M52" s="72"/>
      <c r="N52" s="64">
        <v>0</v>
      </c>
      <c r="O52" s="73">
        <v>89109567</v>
      </c>
      <c r="P52" s="65">
        <f t="shared" si="13"/>
        <v>3617244867</v>
      </c>
      <c r="Q52" s="74">
        <f>ROUND(P52*Q$60,2)+0.11</f>
        <v>0.11</v>
      </c>
      <c r="R52" s="74"/>
      <c r="S52" s="74"/>
      <c r="T52" s="75">
        <v>0</v>
      </c>
      <c r="U52" s="75">
        <v>15051.11</v>
      </c>
      <c r="V52" s="76">
        <f t="shared" si="14"/>
        <v>15051.220000000001</v>
      </c>
      <c r="W52" s="77"/>
      <c r="X52" s="78">
        <f t="shared" si="37"/>
        <v>15051.220000000001</v>
      </c>
      <c r="Y52" s="79">
        <v>0</v>
      </c>
      <c r="Z52" s="79">
        <v>0</v>
      </c>
      <c r="AA52" s="79">
        <v>543408.13</v>
      </c>
      <c r="AB52" s="80">
        <v>6449464</v>
      </c>
      <c r="AC52" s="80">
        <v>0</v>
      </c>
      <c r="AD52" s="80">
        <v>0</v>
      </c>
      <c r="AE52" s="80">
        <v>6441260.64</v>
      </c>
      <c r="AF52" s="80">
        <v>0</v>
      </c>
      <c r="AG52" s="80">
        <v>1181932.08</v>
      </c>
      <c r="AH52" s="81">
        <f t="shared" si="2"/>
        <v>14631116.069999998</v>
      </c>
      <c r="AI52" s="82">
        <v>23222300</v>
      </c>
      <c r="AJ52" s="82">
        <v>26277000</v>
      </c>
      <c r="AK52" s="82">
        <v>246358700</v>
      </c>
      <c r="AL52" s="82">
        <v>13688300</v>
      </c>
      <c r="AM52" s="82">
        <v>0</v>
      </c>
      <c r="AN52" s="82">
        <v>7162300</v>
      </c>
      <c r="AO52" s="83">
        <f t="shared" si="38"/>
        <v>316708600</v>
      </c>
      <c r="AP52" s="84">
        <v>1900000</v>
      </c>
      <c r="AQ52" s="84">
        <v>1367093.84</v>
      </c>
      <c r="AR52" s="84">
        <v>400000</v>
      </c>
      <c r="AS52" s="85">
        <f t="shared" si="39"/>
        <v>3667093.84</v>
      </c>
      <c r="AT52" s="82">
        <v>500</v>
      </c>
      <c r="AU52" s="82">
        <v>30500</v>
      </c>
      <c r="AV52" s="82"/>
      <c r="AW52" s="82" t="s">
        <v>224</v>
      </c>
      <c r="AX52" s="82" t="s">
        <v>223</v>
      </c>
      <c r="AY52" s="82" t="s">
        <v>223</v>
      </c>
      <c r="AZ52" s="82"/>
      <c r="BA52" s="82"/>
      <c r="BB52" s="82"/>
      <c r="BC52" s="82"/>
      <c r="BD52" s="82" t="s">
        <v>266</v>
      </c>
      <c r="BE52" s="82"/>
      <c r="BF52" s="82" t="s">
        <v>225</v>
      </c>
      <c r="BG52" s="82" t="s">
        <v>225</v>
      </c>
      <c r="BH52" s="82" t="s">
        <v>225</v>
      </c>
      <c r="BI52" s="82" t="s">
        <v>225</v>
      </c>
      <c r="BJ52" s="82" t="s">
        <v>224</v>
      </c>
      <c r="BK52" s="82" t="s">
        <v>226</v>
      </c>
      <c r="BL52" s="86">
        <f t="shared" si="15"/>
        <v>0</v>
      </c>
      <c r="BM52" s="86"/>
      <c r="BN52" s="86"/>
      <c r="BO52" s="86"/>
      <c r="BP52" s="87"/>
      <c r="BQ52" s="77"/>
      <c r="BR52" s="77"/>
      <c r="BS52" s="88">
        <f t="shared" si="24"/>
        <v>0</v>
      </c>
      <c r="BT52" s="88">
        <f t="shared" si="16"/>
        <v>0</v>
      </c>
      <c r="BU52" s="88">
        <f t="shared" si="17"/>
        <v>0</v>
      </c>
      <c r="BV52" s="88">
        <f t="shared" si="18"/>
        <v>0.015</v>
      </c>
      <c r="BW52" s="88">
        <f t="shared" si="19"/>
        <v>0.183</v>
      </c>
      <c r="BX52" s="88">
        <f t="shared" si="5"/>
        <v>0</v>
      </c>
      <c r="BY52" s="88">
        <f t="shared" si="6"/>
        <v>0</v>
      </c>
      <c r="BZ52" s="88">
        <f t="shared" si="20"/>
        <v>0.183</v>
      </c>
      <c r="CA52" s="88">
        <f t="shared" si="21"/>
        <v>0</v>
      </c>
      <c r="CB52" s="88">
        <f t="shared" si="22"/>
        <v>0.034</v>
      </c>
      <c r="CC52" s="88">
        <f t="shared" si="33"/>
        <v>0.415</v>
      </c>
      <c r="CD52" s="89">
        <f t="shared" si="34"/>
        <v>97.64</v>
      </c>
      <c r="CE52" s="88">
        <f t="shared" si="35"/>
        <v>0.4044823230928922</v>
      </c>
      <c r="CF52" s="90"/>
      <c r="CG52" s="86"/>
      <c r="CH52" s="86"/>
      <c r="CI52" s="86"/>
      <c r="CJ52" s="91"/>
      <c r="CO52" s="99"/>
    </row>
    <row r="53" spans="1:93" s="96" customFormat="1" ht="17.25" customHeight="1">
      <c r="A53" s="62" t="s">
        <v>210</v>
      </c>
      <c r="B53" s="63" t="s">
        <v>211</v>
      </c>
      <c r="C53" s="64">
        <v>736229900</v>
      </c>
      <c r="D53" s="64">
        <v>467548900</v>
      </c>
      <c r="E53" s="65">
        <f t="shared" si="36"/>
        <v>1203778800</v>
      </c>
      <c r="F53" s="66">
        <v>0</v>
      </c>
      <c r="G53" s="67">
        <f t="shared" si="10"/>
        <v>1203778800</v>
      </c>
      <c r="H53" s="68">
        <v>0</v>
      </c>
      <c r="I53" s="65">
        <f t="shared" si="11"/>
        <v>1203778800</v>
      </c>
      <c r="J53" s="69">
        <f t="shared" si="12"/>
        <v>1.117</v>
      </c>
      <c r="K53" s="70">
        <v>100.7</v>
      </c>
      <c r="L53" s="71"/>
      <c r="M53" s="72"/>
      <c r="N53" s="64">
        <v>6414252</v>
      </c>
      <c r="O53" s="73">
        <v>0</v>
      </c>
      <c r="P53" s="65">
        <f t="shared" si="13"/>
        <v>1197364548</v>
      </c>
      <c r="Q53" s="74">
        <f>ROUND(P53*Q$60,2)+0.03</f>
        <v>0.03</v>
      </c>
      <c r="R53" s="74"/>
      <c r="S53" s="74"/>
      <c r="T53" s="75">
        <v>0</v>
      </c>
      <c r="U53" s="75">
        <v>7581.5</v>
      </c>
      <c r="V53" s="76">
        <f t="shared" si="14"/>
        <v>7581.53</v>
      </c>
      <c r="W53" s="77"/>
      <c r="X53" s="78">
        <f t="shared" si="37"/>
        <v>7581.53</v>
      </c>
      <c r="Y53" s="79">
        <v>215143.77</v>
      </c>
      <c r="Z53" s="79">
        <v>0</v>
      </c>
      <c r="AA53" s="79">
        <v>180037.55</v>
      </c>
      <c r="AB53" s="80">
        <v>8425098</v>
      </c>
      <c r="AC53" s="80">
        <v>0</v>
      </c>
      <c r="AD53" s="80">
        <v>0</v>
      </c>
      <c r="AE53" s="80">
        <v>4491476.39</v>
      </c>
      <c r="AF53" s="80">
        <v>120579</v>
      </c>
      <c r="AG53" s="80">
        <v>0</v>
      </c>
      <c r="AH53" s="81">
        <f t="shared" si="2"/>
        <v>13439916.239999998</v>
      </c>
      <c r="AI53" s="82">
        <v>8618600</v>
      </c>
      <c r="AJ53" s="82">
        <v>0</v>
      </c>
      <c r="AK53" s="82">
        <v>20861700</v>
      </c>
      <c r="AL53" s="82">
        <v>2912100</v>
      </c>
      <c r="AM53" s="82">
        <v>1103100</v>
      </c>
      <c r="AN53" s="82">
        <v>3315300</v>
      </c>
      <c r="AO53" s="83">
        <f t="shared" si="38"/>
        <v>36810800</v>
      </c>
      <c r="AP53" s="84">
        <v>385000</v>
      </c>
      <c r="AQ53" s="84">
        <v>1058143.97</v>
      </c>
      <c r="AR53" s="84">
        <v>240000</v>
      </c>
      <c r="AS53" s="85">
        <f t="shared" si="39"/>
        <v>1683143.97</v>
      </c>
      <c r="AT53" s="82">
        <v>5500</v>
      </c>
      <c r="AU53" s="82">
        <v>53750</v>
      </c>
      <c r="AV53" s="82"/>
      <c r="AW53" s="82" t="s">
        <v>224</v>
      </c>
      <c r="AX53" s="82" t="s">
        <v>223</v>
      </c>
      <c r="AY53" s="82" t="s">
        <v>223</v>
      </c>
      <c r="AZ53" s="82"/>
      <c r="BA53" s="82"/>
      <c r="BB53" s="82"/>
      <c r="BC53" s="82"/>
      <c r="BD53" s="82" t="s">
        <v>266</v>
      </c>
      <c r="BE53" s="82"/>
      <c r="BF53" s="82" t="s">
        <v>225</v>
      </c>
      <c r="BG53" s="82" t="s">
        <v>225</v>
      </c>
      <c r="BH53" s="82" t="s">
        <v>225</v>
      </c>
      <c r="BI53" s="82" t="s">
        <v>225</v>
      </c>
      <c r="BJ53" s="82" t="s">
        <v>224</v>
      </c>
      <c r="BK53" s="82" t="s">
        <v>226</v>
      </c>
      <c r="BL53" s="86">
        <f t="shared" si="15"/>
        <v>0</v>
      </c>
      <c r="BM53" s="86"/>
      <c r="BN53" s="86"/>
      <c r="BO53" s="86"/>
      <c r="BP53" s="87"/>
      <c r="BQ53" s="77"/>
      <c r="BR53" s="77"/>
      <c r="BS53" s="88">
        <f>ROUNDUP(X53/I53*100,3)</f>
        <v>0.001</v>
      </c>
      <c r="BT53" s="88">
        <f t="shared" si="16"/>
        <v>0.018</v>
      </c>
      <c r="BU53" s="88">
        <f t="shared" si="17"/>
        <v>0</v>
      </c>
      <c r="BV53" s="88">
        <f t="shared" si="18"/>
        <v>0.015</v>
      </c>
      <c r="BW53" s="88">
        <f t="shared" si="19"/>
        <v>0.7</v>
      </c>
      <c r="BX53" s="88">
        <f t="shared" si="5"/>
        <v>0</v>
      </c>
      <c r="BY53" s="88">
        <f t="shared" si="6"/>
        <v>0</v>
      </c>
      <c r="BZ53" s="88">
        <f t="shared" si="20"/>
        <v>0.373</v>
      </c>
      <c r="CA53" s="88">
        <f t="shared" si="21"/>
        <v>0.01</v>
      </c>
      <c r="CB53" s="88">
        <f t="shared" si="22"/>
        <v>0</v>
      </c>
      <c r="CC53" s="88">
        <f t="shared" si="33"/>
        <v>1.117</v>
      </c>
      <c r="CD53" s="89">
        <f t="shared" si="34"/>
        <v>100.7</v>
      </c>
      <c r="CE53" s="88">
        <f t="shared" si="35"/>
        <v>1.1224581738660262</v>
      </c>
      <c r="CF53" s="90"/>
      <c r="CG53" s="86"/>
      <c r="CH53" s="86"/>
      <c r="CI53" s="86"/>
      <c r="CJ53" s="91"/>
      <c r="CO53" s="99"/>
    </row>
    <row r="54" spans="1:93" s="96" customFormat="1" ht="17.25" customHeight="1">
      <c r="A54" s="62" t="s">
        <v>212</v>
      </c>
      <c r="B54" s="63" t="s">
        <v>213</v>
      </c>
      <c r="C54" s="64">
        <v>1287752300</v>
      </c>
      <c r="D54" s="64">
        <v>1689628900</v>
      </c>
      <c r="E54" s="65">
        <f t="shared" si="36"/>
        <v>2977381200</v>
      </c>
      <c r="F54" s="66">
        <v>0</v>
      </c>
      <c r="G54" s="67">
        <f t="shared" si="10"/>
        <v>2977381200</v>
      </c>
      <c r="H54" s="68">
        <v>3672701</v>
      </c>
      <c r="I54" s="65">
        <f t="shared" si="11"/>
        <v>2981053901</v>
      </c>
      <c r="J54" s="69">
        <f t="shared" si="12"/>
        <v>1.753</v>
      </c>
      <c r="K54" s="70">
        <v>94.01</v>
      </c>
      <c r="L54" s="71"/>
      <c r="M54" s="72"/>
      <c r="N54" s="64">
        <v>0</v>
      </c>
      <c r="O54" s="73">
        <v>198947668</v>
      </c>
      <c r="P54" s="65">
        <f t="shared" si="13"/>
        <v>3180001569</v>
      </c>
      <c r="Q54" s="74">
        <f>ROUND(P54*Q$60,2)+0.1</f>
        <v>0.1</v>
      </c>
      <c r="R54" s="74"/>
      <c r="S54" s="74"/>
      <c r="T54" s="75">
        <v>0</v>
      </c>
      <c r="U54" s="75">
        <v>11516.28</v>
      </c>
      <c r="V54" s="76">
        <f t="shared" si="14"/>
        <v>11516.380000000001</v>
      </c>
      <c r="W54" s="77"/>
      <c r="X54" s="78">
        <f t="shared" si="37"/>
        <v>11516.380000000001</v>
      </c>
      <c r="Y54" s="79">
        <v>570854.47</v>
      </c>
      <c r="Z54" s="79">
        <v>0</v>
      </c>
      <c r="AA54" s="79">
        <v>477630.1</v>
      </c>
      <c r="AB54" s="80">
        <v>23076751</v>
      </c>
      <c r="AC54" s="80">
        <v>12744100</v>
      </c>
      <c r="AD54" s="80">
        <v>0</v>
      </c>
      <c r="AE54" s="80">
        <v>14694979.34</v>
      </c>
      <c r="AF54" s="80">
        <v>670737</v>
      </c>
      <c r="AG54" s="80">
        <v>0</v>
      </c>
      <c r="AH54" s="81">
        <f t="shared" si="2"/>
        <v>52246568.29000001</v>
      </c>
      <c r="AI54" s="82">
        <v>62212500</v>
      </c>
      <c r="AJ54" s="82">
        <v>37649600</v>
      </c>
      <c r="AK54" s="82">
        <v>599677100</v>
      </c>
      <c r="AL54" s="82">
        <v>28729000</v>
      </c>
      <c r="AM54" s="82">
        <v>7883300</v>
      </c>
      <c r="AN54" s="82">
        <v>91404900</v>
      </c>
      <c r="AO54" s="83">
        <f t="shared" si="38"/>
        <v>827556400</v>
      </c>
      <c r="AP54" s="84">
        <v>3525000</v>
      </c>
      <c r="AQ54" s="84">
        <v>5740590.88</v>
      </c>
      <c r="AR54" s="84">
        <v>600000</v>
      </c>
      <c r="AS54" s="85">
        <f t="shared" si="39"/>
        <v>9865590.879999999</v>
      </c>
      <c r="AT54" s="82">
        <v>19500</v>
      </c>
      <c r="AU54" s="82">
        <v>91750</v>
      </c>
      <c r="AV54" s="82"/>
      <c r="AW54" s="82" t="s">
        <v>224</v>
      </c>
      <c r="AX54" s="82" t="s">
        <v>223</v>
      </c>
      <c r="AY54" s="82" t="s">
        <v>223</v>
      </c>
      <c r="AZ54" s="82"/>
      <c r="BA54" s="82"/>
      <c r="BB54" s="82"/>
      <c r="BC54" s="82"/>
      <c r="BD54" s="82" t="s">
        <v>266</v>
      </c>
      <c r="BE54" s="82"/>
      <c r="BF54" s="82" t="s">
        <v>225</v>
      </c>
      <c r="BG54" s="82" t="s">
        <v>225</v>
      </c>
      <c r="BH54" s="82" t="s">
        <v>225</v>
      </c>
      <c r="BI54" s="82" t="s">
        <v>225</v>
      </c>
      <c r="BJ54" s="82" t="s">
        <v>224</v>
      </c>
      <c r="BK54" s="82" t="s">
        <v>226</v>
      </c>
      <c r="BL54" s="86">
        <f t="shared" si="15"/>
        <v>0</v>
      </c>
      <c r="BM54" s="86"/>
      <c r="BN54" s="86"/>
      <c r="BO54" s="86"/>
      <c r="BP54" s="87"/>
      <c r="BQ54" s="77"/>
      <c r="BR54" s="77"/>
      <c r="BS54" s="88">
        <f t="shared" si="24"/>
        <v>0</v>
      </c>
      <c r="BT54" s="88">
        <f>ROUNDUP(Y54/I54*100,3)</f>
        <v>0.02</v>
      </c>
      <c r="BU54" s="88">
        <f t="shared" si="17"/>
        <v>0</v>
      </c>
      <c r="BV54" s="88">
        <f t="shared" si="18"/>
        <v>0.016</v>
      </c>
      <c r="BW54" s="88">
        <f t="shared" si="19"/>
        <v>0.774</v>
      </c>
      <c r="BX54" s="88">
        <f t="shared" si="5"/>
        <v>0.428</v>
      </c>
      <c r="BY54" s="88">
        <f t="shared" si="6"/>
        <v>0</v>
      </c>
      <c r="BZ54" s="88">
        <f t="shared" si="20"/>
        <v>0.493</v>
      </c>
      <c r="CA54" s="88">
        <f t="shared" si="21"/>
        <v>0.022</v>
      </c>
      <c r="CB54" s="88">
        <f t="shared" si="22"/>
        <v>0</v>
      </c>
      <c r="CC54" s="88">
        <f t="shared" si="33"/>
        <v>1.753</v>
      </c>
      <c r="CD54" s="89">
        <f t="shared" si="34"/>
        <v>94.01</v>
      </c>
      <c r="CE54" s="88">
        <f t="shared" si="35"/>
        <v>1.6429730349607887</v>
      </c>
      <c r="CF54" s="90"/>
      <c r="CG54" s="86"/>
      <c r="CH54" s="86"/>
      <c r="CI54" s="86"/>
      <c r="CJ54" s="91"/>
      <c r="CO54" s="99"/>
    </row>
    <row r="55" spans="1:93" s="96" customFormat="1" ht="17.25" customHeight="1">
      <c r="A55" s="62" t="s">
        <v>214</v>
      </c>
      <c r="B55" s="63" t="s">
        <v>215</v>
      </c>
      <c r="C55" s="64">
        <v>198742300</v>
      </c>
      <c r="D55" s="64">
        <v>306669300</v>
      </c>
      <c r="E55" s="65">
        <f t="shared" si="36"/>
        <v>505411600</v>
      </c>
      <c r="F55" s="66">
        <v>13800</v>
      </c>
      <c r="G55" s="67">
        <f t="shared" si="10"/>
        <v>505397800</v>
      </c>
      <c r="H55" s="68">
        <v>512023</v>
      </c>
      <c r="I55" s="65">
        <f t="shared" si="11"/>
        <v>505909823</v>
      </c>
      <c r="J55" s="69">
        <f t="shared" si="12"/>
        <v>2.514</v>
      </c>
      <c r="K55" s="70">
        <v>95.36</v>
      </c>
      <c r="L55" s="71"/>
      <c r="M55" s="72"/>
      <c r="N55" s="64">
        <v>0</v>
      </c>
      <c r="O55" s="73">
        <v>27873840</v>
      </c>
      <c r="P55" s="65">
        <f t="shared" si="13"/>
        <v>533783663</v>
      </c>
      <c r="Q55" s="74">
        <f>ROUND(P55*Q$60,2)+0.02</f>
        <v>0.02</v>
      </c>
      <c r="R55" s="74"/>
      <c r="S55" s="74"/>
      <c r="T55" s="75">
        <v>0</v>
      </c>
      <c r="U55" s="75">
        <v>5138.43</v>
      </c>
      <c r="V55" s="76">
        <f t="shared" si="14"/>
        <v>5138.450000000001</v>
      </c>
      <c r="W55" s="77"/>
      <c r="X55" s="78">
        <f t="shared" si="37"/>
        <v>5138.450000000001</v>
      </c>
      <c r="Y55" s="79">
        <v>96021.05</v>
      </c>
      <c r="Z55" s="79">
        <v>28185.66</v>
      </c>
      <c r="AA55" s="79">
        <v>80354.83</v>
      </c>
      <c r="AB55" s="80">
        <v>6184946</v>
      </c>
      <c r="AC55" s="80">
        <v>0</v>
      </c>
      <c r="AD55" s="80">
        <v>0</v>
      </c>
      <c r="AE55" s="80">
        <v>6319080.87</v>
      </c>
      <c r="AF55" s="80">
        <v>0</v>
      </c>
      <c r="AG55" s="80">
        <v>0</v>
      </c>
      <c r="AH55" s="81">
        <f t="shared" si="2"/>
        <v>12713726.86</v>
      </c>
      <c r="AI55" s="82">
        <v>11874200</v>
      </c>
      <c r="AJ55" s="82">
        <v>0</v>
      </c>
      <c r="AK55" s="82">
        <v>34692400</v>
      </c>
      <c r="AL55" s="82">
        <v>5383800</v>
      </c>
      <c r="AM55" s="82">
        <v>0</v>
      </c>
      <c r="AN55" s="82">
        <v>3523400</v>
      </c>
      <c r="AO55" s="83">
        <f t="shared" si="38"/>
        <v>55473800</v>
      </c>
      <c r="AP55" s="84">
        <v>631000</v>
      </c>
      <c r="AQ55" s="84">
        <v>2619198.29</v>
      </c>
      <c r="AR55" s="84">
        <v>275000</v>
      </c>
      <c r="AS55" s="85">
        <f t="shared" si="39"/>
        <v>3525198.29</v>
      </c>
      <c r="AT55" s="82">
        <v>12750</v>
      </c>
      <c r="AU55" s="82">
        <v>42750</v>
      </c>
      <c r="AV55" s="82"/>
      <c r="AW55" s="82" t="s">
        <v>224</v>
      </c>
      <c r="AX55" s="82" t="s">
        <v>223</v>
      </c>
      <c r="AY55" s="82" t="s">
        <v>223</v>
      </c>
      <c r="AZ55" s="82"/>
      <c r="BA55" s="82"/>
      <c r="BB55" s="82"/>
      <c r="BC55" s="82"/>
      <c r="BD55" s="82" t="s">
        <v>266</v>
      </c>
      <c r="BE55" s="82"/>
      <c r="BF55" s="82">
        <v>13800</v>
      </c>
      <c r="BG55" s="82" t="s">
        <v>225</v>
      </c>
      <c r="BH55" s="82" t="s">
        <v>225</v>
      </c>
      <c r="BI55" s="82" t="s">
        <v>225</v>
      </c>
      <c r="BJ55" s="82" t="s">
        <v>224</v>
      </c>
      <c r="BK55" s="82" t="s">
        <v>226</v>
      </c>
      <c r="BL55" s="86">
        <f t="shared" si="15"/>
        <v>13800</v>
      </c>
      <c r="BM55" s="86"/>
      <c r="BN55" s="86"/>
      <c r="BO55" s="86"/>
      <c r="BP55" s="87"/>
      <c r="BQ55" s="77"/>
      <c r="BR55" s="77"/>
      <c r="BS55" s="88">
        <f t="shared" si="24"/>
        <v>0.001</v>
      </c>
      <c r="BT55" s="88">
        <f t="shared" si="16"/>
        <v>0.019</v>
      </c>
      <c r="BU55" s="88">
        <f t="shared" si="17"/>
        <v>0.006</v>
      </c>
      <c r="BV55" s="88">
        <f t="shared" si="18"/>
        <v>0.016</v>
      </c>
      <c r="BW55" s="88">
        <f t="shared" si="19"/>
        <v>1.223</v>
      </c>
      <c r="BX55" s="88">
        <f t="shared" si="5"/>
        <v>0</v>
      </c>
      <c r="BY55" s="88">
        <f t="shared" si="6"/>
        <v>0</v>
      </c>
      <c r="BZ55" s="88">
        <f t="shared" si="20"/>
        <v>1.249</v>
      </c>
      <c r="CA55" s="88">
        <f t="shared" si="21"/>
        <v>0</v>
      </c>
      <c r="CB55" s="88">
        <f t="shared" si="22"/>
        <v>0</v>
      </c>
      <c r="CC55" s="88">
        <f t="shared" si="33"/>
        <v>2.514</v>
      </c>
      <c r="CD55" s="89">
        <f t="shared" si="34"/>
        <v>95.36</v>
      </c>
      <c r="CE55" s="88">
        <f t="shared" si="35"/>
        <v>2.3818126595605458</v>
      </c>
      <c r="CF55" s="90"/>
      <c r="CG55" s="86"/>
      <c r="CH55" s="86"/>
      <c r="CI55" s="86"/>
      <c r="CJ55" s="91"/>
      <c r="CO55" s="99"/>
    </row>
    <row r="56" spans="1:93" s="96" customFormat="1" ht="17.25" customHeight="1">
      <c r="A56" s="62" t="s">
        <v>216</v>
      </c>
      <c r="B56" s="63" t="s">
        <v>217</v>
      </c>
      <c r="C56" s="64">
        <v>424772300</v>
      </c>
      <c r="D56" s="64">
        <v>790443100</v>
      </c>
      <c r="E56" s="65">
        <f t="shared" si="36"/>
        <v>1215215400</v>
      </c>
      <c r="F56" s="66">
        <v>0</v>
      </c>
      <c r="G56" s="67">
        <f t="shared" si="10"/>
        <v>1215215400</v>
      </c>
      <c r="H56" s="68">
        <v>0</v>
      </c>
      <c r="I56" s="65">
        <f t="shared" si="11"/>
        <v>1215215400</v>
      </c>
      <c r="J56" s="69">
        <f t="shared" si="12"/>
        <v>2.098</v>
      </c>
      <c r="K56" s="70">
        <v>95.78</v>
      </c>
      <c r="L56" s="71"/>
      <c r="M56" s="72"/>
      <c r="N56" s="64">
        <v>0</v>
      </c>
      <c r="O56" s="73">
        <v>56209333</v>
      </c>
      <c r="P56" s="65">
        <f t="shared" si="13"/>
        <v>1271424733</v>
      </c>
      <c r="Q56" s="74">
        <f>ROUND(P56*Q$60,2)</f>
        <v>0</v>
      </c>
      <c r="R56" s="74"/>
      <c r="S56" s="74"/>
      <c r="T56" s="75">
        <v>0</v>
      </c>
      <c r="U56" s="75">
        <v>8491.67</v>
      </c>
      <c r="V56" s="76">
        <f t="shared" si="14"/>
        <v>8491.67</v>
      </c>
      <c r="W56" s="77"/>
      <c r="X56" s="78">
        <f t="shared" si="37"/>
        <v>8491.67</v>
      </c>
      <c r="Y56" s="79">
        <v>228475.93</v>
      </c>
      <c r="Z56" s="79">
        <v>0</v>
      </c>
      <c r="AA56" s="79">
        <v>191198.92</v>
      </c>
      <c r="AB56" s="80">
        <v>0</v>
      </c>
      <c r="AC56" s="80">
        <v>21601096</v>
      </c>
      <c r="AD56" s="80">
        <v>0</v>
      </c>
      <c r="AE56" s="80">
        <v>2733530.98</v>
      </c>
      <c r="AF56" s="80">
        <v>731128</v>
      </c>
      <c r="AG56" s="80">
        <v>0</v>
      </c>
      <c r="AH56" s="81">
        <f t="shared" si="2"/>
        <v>25493921.5</v>
      </c>
      <c r="AI56" s="82">
        <v>51289700</v>
      </c>
      <c r="AJ56" s="82">
        <v>0</v>
      </c>
      <c r="AK56" s="82">
        <v>126981800</v>
      </c>
      <c r="AL56" s="82">
        <v>5393100</v>
      </c>
      <c r="AM56" s="82">
        <v>909500</v>
      </c>
      <c r="AN56" s="82">
        <v>4504100</v>
      </c>
      <c r="AO56" s="83">
        <f t="shared" si="38"/>
        <v>189078200</v>
      </c>
      <c r="AP56" s="84">
        <v>1105000</v>
      </c>
      <c r="AQ56" s="84">
        <v>1161469.02</v>
      </c>
      <c r="AR56" s="84">
        <v>450000</v>
      </c>
      <c r="AS56" s="85">
        <f t="shared" si="39"/>
        <v>2716469.02</v>
      </c>
      <c r="AT56" s="82">
        <v>2750</v>
      </c>
      <c r="AU56" s="82">
        <v>50000</v>
      </c>
      <c r="AV56" s="82"/>
      <c r="AW56" s="82" t="s">
        <v>224</v>
      </c>
      <c r="AX56" s="82" t="s">
        <v>223</v>
      </c>
      <c r="AY56" s="82" t="s">
        <v>223</v>
      </c>
      <c r="AZ56" s="82"/>
      <c r="BA56" s="82"/>
      <c r="BB56" s="82"/>
      <c r="BC56" s="82"/>
      <c r="BD56" s="82" t="s">
        <v>266</v>
      </c>
      <c r="BE56" s="82"/>
      <c r="BF56" s="82" t="s">
        <v>225</v>
      </c>
      <c r="BG56" s="82" t="s">
        <v>225</v>
      </c>
      <c r="BH56" s="82" t="s">
        <v>225</v>
      </c>
      <c r="BI56" s="82" t="s">
        <v>225</v>
      </c>
      <c r="BJ56" s="82" t="s">
        <v>224</v>
      </c>
      <c r="BK56" s="82"/>
      <c r="BL56" s="86">
        <f t="shared" si="15"/>
        <v>0</v>
      </c>
      <c r="BM56" s="86"/>
      <c r="BN56" s="86"/>
      <c r="BO56" s="86"/>
      <c r="BP56" s="87"/>
      <c r="BQ56" s="77"/>
      <c r="BR56" s="77"/>
      <c r="BS56" s="88">
        <f t="shared" si="24"/>
        <v>0.001</v>
      </c>
      <c r="BT56" s="88">
        <f t="shared" si="16"/>
        <v>0.019</v>
      </c>
      <c r="BU56" s="88">
        <f t="shared" si="17"/>
        <v>0</v>
      </c>
      <c r="BV56" s="88">
        <f t="shared" si="18"/>
        <v>0.016</v>
      </c>
      <c r="BW56" s="88">
        <f t="shared" si="19"/>
        <v>0</v>
      </c>
      <c r="BX56" s="88">
        <f t="shared" si="5"/>
        <v>1.778</v>
      </c>
      <c r="BY56" s="88">
        <f t="shared" si="6"/>
        <v>0</v>
      </c>
      <c r="BZ56" s="88">
        <f t="shared" si="20"/>
        <v>0.225</v>
      </c>
      <c r="CA56" s="88">
        <f t="shared" si="21"/>
        <v>0.06</v>
      </c>
      <c r="CB56" s="88">
        <f t="shared" si="22"/>
        <v>0</v>
      </c>
      <c r="CC56" s="88">
        <f t="shared" si="33"/>
        <v>2.098</v>
      </c>
      <c r="CD56" s="89">
        <f t="shared" si="34"/>
        <v>95.78</v>
      </c>
      <c r="CE56" s="88">
        <f t="shared" si="35"/>
        <v>2.0051459467715107</v>
      </c>
      <c r="CF56" s="90"/>
      <c r="CG56" s="86"/>
      <c r="CH56" s="86"/>
      <c r="CI56" s="86"/>
      <c r="CJ56" s="91"/>
      <c r="CO56" s="100"/>
    </row>
    <row r="57" spans="1:93" s="96" customFormat="1" ht="17.25" customHeight="1">
      <c r="A57" s="62" t="s">
        <v>218</v>
      </c>
      <c r="B57" s="63" t="s">
        <v>219</v>
      </c>
      <c r="C57" s="64">
        <v>2651190000</v>
      </c>
      <c r="D57" s="64">
        <v>3290010990</v>
      </c>
      <c r="E57" s="65">
        <f t="shared" si="36"/>
        <v>5941200990</v>
      </c>
      <c r="F57" s="66">
        <v>381800</v>
      </c>
      <c r="G57" s="67">
        <f t="shared" si="10"/>
        <v>5940819190</v>
      </c>
      <c r="H57" s="68">
        <v>7953969</v>
      </c>
      <c r="I57" s="65">
        <f t="shared" si="11"/>
        <v>5948773159</v>
      </c>
      <c r="J57" s="69">
        <f t="shared" si="12"/>
        <v>1.561</v>
      </c>
      <c r="K57" s="70">
        <v>103.7</v>
      </c>
      <c r="L57" s="71"/>
      <c r="M57" s="72"/>
      <c r="N57" s="64">
        <v>201430081</v>
      </c>
      <c r="O57" s="73">
        <v>0</v>
      </c>
      <c r="P57" s="65">
        <f t="shared" si="13"/>
        <v>5747343078</v>
      </c>
      <c r="Q57" s="74">
        <f>ROUND(P57*Q$60,2)+0.17</f>
        <v>0.17</v>
      </c>
      <c r="R57" s="74"/>
      <c r="S57" s="74"/>
      <c r="T57" s="75">
        <v>0</v>
      </c>
      <c r="U57" s="75">
        <v>9700.42</v>
      </c>
      <c r="V57" s="76">
        <f t="shared" si="14"/>
        <v>9700.59</v>
      </c>
      <c r="W57" s="77"/>
      <c r="X57" s="78">
        <f t="shared" si="37"/>
        <v>9700.59</v>
      </c>
      <c r="Y57" s="79">
        <v>1030956.8</v>
      </c>
      <c r="Z57" s="79">
        <v>0</v>
      </c>
      <c r="AA57" s="79">
        <v>862624.07</v>
      </c>
      <c r="AB57" s="80">
        <v>64266723</v>
      </c>
      <c r="AC57" s="80">
        <v>0</v>
      </c>
      <c r="AD57" s="80">
        <v>0</v>
      </c>
      <c r="AE57" s="80">
        <v>26647034.76</v>
      </c>
      <c r="AF57" s="80">
        <v>0</v>
      </c>
      <c r="AG57" s="80">
        <v>0</v>
      </c>
      <c r="AH57" s="81">
        <f t="shared" si="2"/>
        <v>92817039.22</v>
      </c>
      <c r="AI57" s="82">
        <v>86391000</v>
      </c>
      <c r="AJ57" s="82">
        <v>14269400</v>
      </c>
      <c r="AK57" s="82">
        <v>342665200</v>
      </c>
      <c r="AL57" s="82">
        <v>32010900</v>
      </c>
      <c r="AM57" s="82">
        <v>18719000</v>
      </c>
      <c r="AN57" s="82">
        <v>57600900</v>
      </c>
      <c r="AO57" s="83">
        <f t="shared" si="38"/>
        <v>551656400</v>
      </c>
      <c r="AP57" s="84">
        <v>3341183.62</v>
      </c>
      <c r="AQ57" s="84">
        <v>7927735.44</v>
      </c>
      <c r="AR57" s="84">
        <v>1700000</v>
      </c>
      <c r="AS57" s="85">
        <f t="shared" si="39"/>
        <v>12968919.06</v>
      </c>
      <c r="AT57" s="82">
        <v>17000</v>
      </c>
      <c r="AU57" s="82">
        <v>208750</v>
      </c>
      <c r="AV57" s="82"/>
      <c r="AW57" s="82">
        <v>100000</v>
      </c>
      <c r="AX57" s="82" t="s">
        <v>223</v>
      </c>
      <c r="AY57" s="82" t="s">
        <v>223</v>
      </c>
      <c r="AZ57" s="82"/>
      <c r="BA57" s="82"/>
      <c r="BB57" s="82"/>
      <c r="BC57" s="82"/>
      <c r="BD57" s="82" t="s">
        <v>266</v>
      </c>
      <c r="BE57" s="82"/>
      <c r="BF57" s="82">
        <v>80800</v>
      </c>
      <c r="BG57" s="82" t="s">
        <v>225</v>
      </c>
      <c r="BH57" s="82" t="s">
        <v>225</v>
      </c>
      <c r="BI57" s="82" t="s">
        <v>225</v>
      </c>
      <c r="BJ57" s="82" t="s">
        <v>224</v>
      </c>
      <c r="BK57" s="82">
        <v>201000</v>
      </c>
      <c r="BL57" s="86">
        <f t="shared" si="15"/>
        <v>381800</v>
      </c>
      <c r="BM57" s="86"/>
      <c r="BN57" s="86"/>
      <c r="BO57" s="86"/>
      <c r="BP57" s="87"/>
      <c r="BQ57" s="77"/>
      <c r="BR57" s="77"/>
      <c r="BS57" s="88">
        <f>ROUNDUP(X57/I57*100,3)</f>
        <v>0.001</v>
      </c>
      <c r="BT57" s="88">
        <f t="shared" si="16"/>
        <v>0.017</v>
      </c>
      <c r="BU57" s="88">
        <f t="shared" si="17"/>
        <v>0</v>
      </c>
      <c r="BV57" s="88">
        <f t="shared" si="18"/>
        <v>0.015</v>
      </c>
      <c r="BW57" s="88">
        <f t="shared" si="19"/>
        <v>1.08</v>
      </c>
      <c r="BX57" s="88">
        <f t="shared" si="5"/>
        <v>0</v>
      </c>
      <c r="BY57" s="88">
        <f t="shared" si="6"/>
        <v>0</v>
      </c>
      <c r="BZ57" s="88">
        <f t="shared" si="20"/>
        <v>0.448</v>
      </c>
      <c r="CA57" s="88">
        <f t="shared" si="21"/>
        <v>0</v>
      </c>
      <c r="CB57" s="88">
        <f t="shared" si="22"/>
        <v>0</v>
      </c>
      <c r="CC57" s="88">
        <f t="shared" si="33"/>
        <v>1.561</v>
      </c>
      <c r="CD57" s="89">
        <f t="shared" si="34"/>
        <v>103.7</v>
      </c>
      <c r="CE57" s="88">
        <f t="shared" si="35"/>
        <v>1.6149556057526864</v>
      </c>
      <c r="CF57" s="90"/>
      <c r="CG57" s="86"/>
      <c r="CH57" s="86"/>
      <c r="CI57" s="86"/>
      <c r="CJ57" s="91"/>
      <c r="CO57" s="100"/>
    </row>
    <row r="58" spans="1:93" s="96" customFormat="1" ht="17.25" customHeight="1">
      <c r="A58" s="62" t="s">
        <v>220</v>
      </c>
      <c r="B58" s="63" t="s">
        <v>221</v>
      </c>
      <c r="C58" s="64">
        <v>566248900</v>
      </c>
      <c r="D58" s="64">
        <v>647101300</v>
      </c>
      <c r="E58" s="65">
        <f t="shared" si="36"/>
        <v>1213350200</v>
      </c>
      <c r="F58" s="66">
        <v>0</v>
      </c>
      <c r="G58" s="67">
        <f t="shared" si="10"/>
        <v>1213350200</v>
      </c>
      <c r="H58" s="68">
        <v>725533</v>
      </c>
      <c r="I58" s="65">
        <f t="shared" si="11"/>
        <v>1214075733</v>
      </c>
      <c r="J58" s="69">
        <f t="shared" si="12"/>
        <v>1.9029999999999998</v>
      </c>
      <c r="K58" s="70">
        <v>97.51</v>
      </c>
      <c r="L58" s="71"/>
      <c r="M58" s="72"/>
      <c r="N58" s="64">
        <v>0</v>
      </c>
      <c r="O58" s="73">
        <v>36876131</v>
      </c>
      <c r="P58" s="65">
        <f t="shared" si="13"/>
        <v>1250951864</v>
      </c>
      <c r="Q58" s="74">
        <f>ROUND(P58*Q$60,2)+0.03</f>
        <v>0.03</v>
      </c>
      <c r="R58" s="74"/>
      <c r="S58" s="74"/>
      <c r="T58" s="75">
        <v>0</v>
      </c>
      <c r="U58" s="75">
        <v>2407.55</v>
      </c>
      <c r="V58" s="76">
        <f t="shared" si="14"/>
        <v>2407.5800000000004</v>
      </c>
      <c r="W58" s="77"/>
      <c r="X58" s="78">
        <f t="shared" si="37"/>
        <v>2407.5800000000004</v>
      </c>
      <c r="Y58" s="79">
        <v>224420.62</v>
      </c>
      <c r="Z58" s="79">
        <v>0</v>
      </c>
      <c r="AA58" s="79">
        <v>187774.17</v>
      </c>
      <c r="AB58" s="80">
        <v>9773023</v>
      </c>
      <c r="AC58" s="80">
        <v>4855829</v>
      </c>
      <c r="AD58" s="80">
        <v>0</v>
      </c>
      <c r="AE58" s="80">
        <v>8049000</v>
      </c>
      <c r="AF58" s="80">
        <v>0</v>
      </c>
      <c r="AG58" s="80">
        <v>0</v>
      </c>
      <c r="AH58" s="81">
        <f t="shared" si="2"/>
        <v>23092454.369999997</v>
      </c>
      <c r="AI58" s="82">
        <v>30244200</v>
      </c>
      <c r="AJ58" s="82">
        <v>148859400</v>
      </c>
      <c r="AK58" s="82">
        <v>24278100</v>
      </c>
      <c r="AL58" s="82">
        <v>18215200</v>
      </c>
      <c r="AM58" s="82">
        <v>10728900</v>
      </c>
      <c r="AN58" s="82">
        <v>18757900</v>
      </c>
      <c r="AO58" s="83">
        <f t="shared" si="38"/>
        <v>251083700</v>
      </c>
      <c r="AP58" s="84">
        <v>935000</v>
      </c>
      <c r="AQ58" s="84">
        <v>1706403.57</v>
      </c>
      <c r="AR58" s="84">
        <v>381179.38</v>
      </c>
      <c r="AS58" s="85">
        <f t="shared" si="39"/>
        <v>3022582.95</v>
      </c>
      <c r="AT58" s="82">
        <v>3500</v>
      </c>
      <c r="AU58" s="82">
        <v>53250</v>
      </c>
      <c r="AV58" s="82"/>
      <c r="AW58" s="82" t="s">
        <v>224</v>
      </c>
      <c r="AX58" s="82" t="s">
        <v>223</v>
      </c>
      <c r="AY58" s="82" t="s">
        <v>223</v>
      </c>
      <c r="AZ58" s="82"/>
      <c r="BA58" s="82"/>
      <c r="BB58" s="82"/>
      <c r="BC58" s="82"/>
      <c r="BD58" s="82" t="s">
        <v>266</v>
      </c>
      <c r="BE58" s="82"/>
      <c r="BF58" s="82" t="s">
        <v>225</v>
      </c>
      <c r="BG58" s="82" t="s">
        <v>225</v>
      </c>
      <c r="BH58" s="82" t="s">
        <v>225</v>
      </c>
      <c r="BI58" s="82" t="s">
        <v>225</v>
      </c>
      <c r="BJ58" s="82"/>
      <c r="BK58" s="82"/>
      <c r="BL58" s="86">
        <f t="shared" si="15"/>
        <v>0</v>
      </c>
      <c r="BM58" s="86"/>
      <c r="BN58" s="86"/>
      <c r="BO58" s="86"/>
      <c r="BP58" s="87"/>
      <c r="BQ58" s="77"/>
      <c r="BR58" s="77"/>
      <c r="BS58" s="88">
        <f t="shared" si="24"/>
        <v>0</v>
      </c>
      <c r="BT58" s="88">
        <f>ROUNDUP(Y58/I58*100,3)</f>
        <v>0.019</v>
      </c>
      <c r="BU58" s="88">
        <f t="shared" si="17"/>
        <v>0</v>
      </c>
      <c r="BV58" s="88">
        <f>ROUNDUP(AA58/I58*100,3)</f>
        <v>0.016</v>
      </c>
      <c r="BW58" s="88">
        <f t="shared" si="19"/>
        <v>0.805</v>
      </c>
      <c r="BX58" s="88">
        <f t="shared" si="5"/>
        <v>0.4</v>
      </c>
      <c r="BY58" s="88">
        <f t="shared" si="6"/>
        <v>0</v>
      </c>
      <c r="BZ58" s="88">
        <f t="shared" si="20"/>
        <v>0.663</v>
      </c>
      <c r="CA58" s="88">
        <f t="shared" si="21"/>
        <v>0</v>
      </c>
      <c r="CB58" s="88">
        <f t="shared" si="22"/>
        <v>0</v>
      </c>
      <c r="CC58" s="88">
        <f t="shared" si="33"/>
        <v>1.9029999999999998</v>
      </c>
      <c r="CD58" s="89">
        <f t="shared" si="34"/>
        <v>97.51</v>
      </c>
      <c r="CE58" s="88">
        <f t="shared" si="35"/>
        <v>1.845990643969335</v>
      </c>
      <c r="CF58" s="90"/>
      <c r="CG58" s="86"/>
      <c r="CH58" s="86"/>
      <c r="CI58" s="86"/>
      <c r="CJ58" s="91"/>
      <c r="CO58" s="100"/>
    </row>
    <row r="59" spans="1:93" ht="17.25" customHeight="1">
      <c r="A59" s="40"/>
      <c r="B59" s="40"/>
      <c r="C59" s="34">
        <f aca="true" t="shared" si="40" ref="C59:I59">SUM(C6:C58)</f>
        <v>54055641760</v>
      </c>
      <c r="D59" s="34">
        <f t="shared" si="40"/>
        <v>58368783570</v>
      </c>
      <c r="E59" s="34">
        <f t="shared" si="40"/>
        <v>112424425330</v>
      </c>
      <c r="F59" s="34">
        <f t="shared" si="40"/>
        <v>26301300</v>
      </c>
      <c r="G59" s="34">
        <f t="shared" si="40"/>
        <v>112398124030</v>
      </c>
      <c r="H59" s="34">
        <f t="shared" si="40"/>
        <v>80359801</v>
      </c>
      <c r="I59" s="31">
        <f t="shared" si="40"/>
        <v>112478483831</v>
      </c>
      <c r="J59" s="34"/>
      <c r="K59" s="34"/>
      <c r="L59" s="34">
        <f>SUM(L6:L58)</f>
        <v>0</v>
      </c>
      <c r="M59" s="34">
        <f>SUM(M6:M58)</f>
        <v>0</v>
      </c>
      <c r="N59" s="34">
        <f>SUM(N6:N58)</f>
        <v>710695845</v>
      </c>
      <c r="O59" s="34">
        <f>SUM(O6:O58)</f>
        <v>4077587065</v>
      </c>
      <c r="P59" s="34">
        <f>SUM(P6:P58)</f>
        <v>115845375051</v>
      </c>
      <c r="Q59" s="35">
        <f>V59-U59+T59-S59+R59</f>
        <v>302459951.75</v>
      </c>
      <c r="R59" s="36">
        <f>SUM(R6:R58)</f>
        <v>0</v>
      </c>
      <c r="S59" s="36">
        <f>SUM(S6:S58)</f>
        <v>0</v>
      </c>
      <c r="T59" s="36">
        <f>SUM(T6:T58)</f>
        <v>376959.32000000007</v>
      </c>
      <c r="U59" s="36">
        <f>SUM(U6:U58)</f>
        <v>392007.5699999999</v>
      </c>
      <c r="V59" s="37">
        <v>302475000</v>
      </c>
      <c r="W59" s="34">
        <f>SUM(W6:W58)</f>
        <v>0</v>
      </c>
      <c r="X59" s="35">
        <f>V59</f>
        <v>302475000</v>
      </c>
      <c r="Y59" s="35">
        <f>SUM(Y6:Y58)</f>
        <v>14630000.000000006</v>
      </c>
      <c r="Z59" s="36">
        <f>SUM(Z6:Z58)</f>
        <v>2295000.000000001</v>
      </c>
      <c r="AA59" s="36">
        <f>SUM(AA6:AA58)</f>
        <v>17376806.260000005</v>
      </c>
      <c r="AB59" s="35">
        <f>SUM(AB6:AB58)</f>
        <v>962178615</v>
      </c>
      <c r="AC59" s="35">
        <f>SUM(AC6:AC58)</f>
        <v>356648527</v>
      </c>
      <c r="AD59" s="35"/>
      <c r="AE59" s="35">
        <f>SUM(AE6:AE58)</f>
        <v>541781747.9599999</v>
      </c>
      <c r="AF59" s="35">
        <f>SUM(AF6:AF58)</f>
        <v>12331296.629999999</v>
      </c>
      <c r="AG59" s="35">
        <f aca="true" t="shared" si="41" ref="AG59:AW59">SUM(AG6:AG58)</f>
        <v>11316239.09</v>
      </c>
      <c r="AH59" s="35">
        <f t="shared" si="41"/>
        <v>1918573283.66</v>
      </c>
      <c r="AI59" s="34">
        <f t="shared" si="41"/>
        <v>2092522500</v>
      </c>
      <c r="AJ59" s="34">
        <f t="shared" si="41"/>
        <v>441022500</v>
      </c>
      <c r="AK59" s="34">
        <f t="shared" si="41"/>
        <v>5630408600</v>
      </c>
      <c r="AL59" s="34">
        <f t="shared" si="41"/>
        <v>1342252200</v>
      </c>
      <c r="AM59" s="34">
        <f t="shared" si="41"/>
        <v>171395200</v>
      </c>
      <c r="AN59" s="34">
        <f t="shared" si="41"/>
        <v>2484578000</v>
      </c>
      <c r="AO59" s="34">
        <f t="shared" si="41"/>
        <v>12162179000</v>
      </c>
      <c r="AP59" s="48">
        <f t="shared" si="41"/>
        <v>85404859.94000001</v>
      </c>
      <c r="AQ59" s="48">
        <f t="shared" si="41"/>
        <v>210937568.93999997</v>
      </c>
      <c r="AR59" s="48">
        <f t="shared" si="41"/>
        <v>24361347.740000002</v>
      </c>
      <c r="AS59" s="48">
        <f t="shared" si="41"/>
        <v>320703776.61999995</v>
      </c>
      <c r="AT59" s="34">
        <f t="shared" si="41"/>
        <v>626500</v>
      </c>
      <c r="AU59" s="34">
        <f t="shared" si="41"/>
        <v>3672750</v>
      </c>
      <c r="AV59" s="34">
        <f t="shared" si="41"/>
        <v>0</v>
      </c>
      <c r="AW59" s="34">
        <f t="shared" si="41"/>
        <v>2225900</v>
      </c>
      <c r="AX59" s="34"/>
      <c r="AY59" s="34">
        <f>SUM(AY9:AY58)</f>
        <v>2102400</v>
      </c>
      <c r="AZ59" s="34"/>
      <c r="BA59" s="34"/>
      <c r="BB59" s="34"/>
      <c r="BC59" s="34"/>
      <c r="BD59" s="34"/>
      <c r="BE59" s="34">
        <f>SUM(BE6:BE58)</f>
        <v>1479400</v>
      </c>
      <c r="BF59" s="34">
        <f>SUM(BF6:BF58)</f>
        <v>5511500</v>
      </c>
      <c r="BG59" s="34">
        <f>SUM(BG6:BG58)</f>
        <v>10985400</v>
      </c>
      <c r="BH59" s="34">
        <f>SUM(BH6:BH58)</f>
        <v>821400</v>
      </c>
      <c r="BI59" s="34"/>
      <c r="BJ59" s="34"/>
      <c r="BK59" s="34">
        <f>SUM(BK9:BK58)</f>
        <v>3175300</v>
      </c>
      <c r="BL59" s="39">
        <f t="shared" si="15"/>
        <v>26301300</v>
      </c>
      <c r="BM59" s="34">
        <f>SUM(BM6:BM58)</f>
        <v>0</v>
      </c>
      <c r="BN59" s="34">
        <f>SUM(BN6:BN58)</f>
        <v>0</v>
      </c>
      <c r="BO59" s="34">
        <f>SUM(BO6:BO58)</f>
        <v>0</v>
      </c>
      <c r="BP59" s="41"/>
      <c r="BQ59" s="34">
        <f>SUM(BQ6:BQ58)</f>
        <v>0</v>
      </c>
      <c r="BR59" s="34">
        <f>SUM(BR6:BR58)</f>
        <v>0</v>
      </c>
      <c r="BS59" s="34">
        <f t="shared" si="24"/>
        <v>0.269</v>
      </c>
      <c r="BT59" s="34"/>
      <c r="BU59" s="34"/>
      <c r="BV59" s="34"/>
      <c r="BW59" s="34"/>
      <c r="BX59" s="34"/>
      <c r="BY59" s="34"/>
      <c r="BZ59" s="34"/>
      <c r="CA59" s="34"/>
      <c r="CB59" s="34"/>
      <c r="CC59" s="34"/>
      <c r="CD59" s="34"/>
      <c r="CE59" s="34"/>
      <c r="CF59" s="32"/>
      <c r="CG59" s="47">
        <f>SUM(CG6:CG58)</f>
        <v>0</v>
      </c>
      <c r="CH59" s="47">
        <f>SUM(CH6:CH58)</f>
        <v>0</v>
      </c>
      <c r="CI59" s="47">
        <f>SUM(CI6:CI58)</f>
        <v>0</v>
      </c>
      <c r="CO59" s="59"/>
    </row>
    <row r="60" spans="3:99" ht="17.25" customHeight="1">
      <c r="C60" s="15"/>
      <c r="D60" s="15"/>
      <c r="E60" s="16"/>
      <c r="F60" s="16"/>
      <c r="G60" s="16"/>
      <c r="H60" s="16"/>
      <c r="I60" s="16"/>
      <c r="J60" s="17"/>
      <c r="K60" s="18"/>
      <c r="L60" s="16"/>
      <c r="M60" s="16"/>
      <c r="N60" s="16"/>
      <c r="O60" s="16"/>
      <c r="P60" s="16"/>
      <c r="Q60" s="30"/>
      <c r="R60" s="30"/>
      <c r="S60" s="30"/>
      <c r="T60" s="19"/>
      <c r="U60" s="19"/>
      <c r="V60" s="19"/>
      <c r="W60" s="19"/>
      <c r="X60" s="19"/>
      <c r="Y60" s="19"/>
      <c r="Z60" s="19"/>
      <c r="AA60" s="19"/>
      <c r="AB60" s="19"/>
      <c r="AC60" s="19"/>
      <c r="AD60" s="19"/>
      <c r="AE60" s="19"/>
      <c r="AF60" s="19"/>
      <c r="AG60" s="19"/>
      <c r="AH60" s="19"/>
      <c r="AI60" s="16"/>
      <c r="AJ60" s="16"/>
      <c r="AK60" s="16"/>
      <c r="AL60" s="16"/>
      <c r="AM60" s="16"/>
      <c r="AN60" s="16"/>
      <c r="AO60" s="16"/>
      <c r="AP60" s="19"/>
      <c r="AQ60" s="19"/>
      <c r="AR60" s="19"/>
      <c r="AS60" s="19"/>
      <c r="AT60" s="19"/>
      <c r="AU60" s="19"/>
      <c r="AV60" s="20"/>
      <c r="AW60" s="20"/>
      <c r="AX60" s="20"/>
      <c r="AY60" s="20"/>
      <c r="AZ60" s="20"/>
      <c r="BA60" s="20"/>
      <c r="BB60" s="20"/>
      <c r="BC60" s="20"/>
      <c r="BD60" s="20"/>
      <c r="BE60" s="20"/>
      <c r="BF60" s="20"/>
      <c r="BG60" s="20"/>
      <c r="BH60" s="20"/>
      <c r="BI60" s="20"/>
      <c r="BJ60" s="20"/>
      <c r="BK60" s="20"/>
      <c r="BL60" s="20"/>
      <c r="BM60" s="19"/>
      <c r="BN60" s="19"/>
      <c r="BO60" s="19"/>
      <c r="BP60" s="42"/>
      <c r="BQ60" s="19"/>
      <c r="BR60" s="21"/>
      <c r="BS60" s="20"/>
      <c r="BT60" s="20"/>
      <c r="BU60" s="20"/>
      <c r="BV60" s="20"/>
      <c r="BW60" s="20"/>
      <c r="BX60" s="20"/>
      <c r="BY60" s="20"/>
      <c r="BZ60" s="20"/>
      <c r="CA60" s="20"/>
      <c r="CB60" s="20"/>
      <c r="CC60" s="20"/>
      <c r="CD60" s="20"/>
      <c r="CE60" s="18"/>
      <c r="CF60" s="5"/>
      <c r="CG60" s="20"/>
      <c r="CH60" s="21"/>
      <c r="CI60" s="21"/>
      <c r="CJ60" s="21"/>
      <c r="CO60" s="59"/>
      <c r="CQ60" s="21"/>
      <c r="CR60" s="21"/>
      <c r="CS60" s="21"/>
      <c r="CT60" s="21"/>
      <c r="CU60" s="21"/>
    </row>
    <row r="61" spans="3:93" ht="17.25" customHeight="1">
      <c r="C61" s="22"/>
      <c r="D61" s="22"/>
      <c r="E61" s="23"/>
      <c r="F61" s="23"/>
      <c r="G61" s="23"/>
      <c r="H61" s="58"/>
      <c r="I61" s="23"/>
      <c r="J61" s="24"/>
      <c r="K61" s="25"/>
      <c r="L61" s="23"/>
      <c r="M61" s="23"/>
      <c r="N61" s="23"/>
      <c r="O61" s="23"/>
      <c r="P61" s="23"/>
      <c r="Q61" s="26"/>
      <c r="R61" s="26"/>
      <c r="S61" s="26"/>
      <c r="T61" s="26"/>
      <c r="U61" s="26"/>
      <c r="V61" s="26"/>
      <c r="W61" s="26"/>
      <c r="X61" s="26"/>
      <c r="Y61" s="26"/>
      <c r="Z61" s="26"/>
      <c r="AA61" s="26"/>
      <c r="AB61" s="26"/>
      <c r="AC61" s="26"/>
      <c r="AD61" s="26"/>
      <c r="AE61" s="26"/>
      <c r="AF61" s="26"/>
      <c r="AG61" s="26"/>
      <c r="AH61" s="26"/>
      <c r="AI61" s="26"/>
      <c r="AJ61" s="26"/>
      <c r="AK61" s="23"/>
      <c r="AL61" s="23"/>
      <c r="AM61" s="23"/>
      <c r="AN61" s="23"/>
      <c r="AO61" s="23"/>
      <c r="AP61" s="23"/>
      <c r="AQ61" s="23"/>
      <c r="AR61" s="26"/>
      <c r="AS61" s="26"/>
      <c r="AT61" s="26"/>
      <c r="AU61" s="26"/>
      <c r="AV61" s="26"/>
      <c r="AW61" s="26"/>
      <c r="AX61" s="27"/>
      <c r="AY61" s="27"/>
      <c r="AZ61" s="27"/>
      <c r="BA61" s="27"/>
      <c r="BB61" s="27"/>
      <c r="BC61" s="27"/>
      <c r="BD61" s="27"/>
      <c r="BE61" s="27"/>
      <c r="BF61" s="27"/>
      <c r="BG61" s="27"/>
      <c r="BH61" s="27"/>
      <c r="BI61" s="27"/>
      <c r="BJ61" s="27"/>
      <c r="BK61" s="27"/>
      <c r="BL61" s="27"/>
      <c r="BM61" s="26"/>
      <c r="BN61" s="26"/>
      <c r="BO61" s="26"/>
      <c r="BP61" s="43"/>
      <c r="BQ61" s="26"/>
      <c r="BR61" s="27"/>
      <c r="BS61" s="27"/>
      <c r="BT61" s="27"/>
      <c r="BU61" s="27"/>
      <c r="BV61" s="27"/>
      <c r="BW61" s="27"/>
      <c r="BX61" s="27"/>
      <c r="BY61" s="27"/>
      <c r="BZ61" s="27"/>
      <c r="CA61" s="27"/>
      <c r="CB61" s="27"/>
      <c r="CC61" s="27"/>
      <c r="CD61" s="27"/>
      <c r="CE61" s="25"/>
      <c r="CF61" s="6"/>
      <c r="CG61" s="27"/>
      <c r="CH61" s="27"/>
      <c r="CI61" s="27"/>
      <c r="CJ61" s="27"/>
      <c r="CO61" s="59"/>
    </row>
    <row r="62" spans="3:93" ht="17.25" customHeight="1">
      <c r="C62" s="22"/>
      <c r="D62" s="22"/>
      <c r="E62" s="7"/>
      <c r="F62" s="7"/>
      <c r="G62" s="7"/>
      <c r="H62" s="7"/>
      <c r="I62" s="7"/>
      <c r="J62" s="8"/>
      <c r="K62" s="9"/>
      <c r="L62" s="7"/>
      <c r="M62" s="7"/>
      <c r="N62" s="7"/>
      <c r="O62" s="7"/>
      <c r="P62" s="7"/>
      <c r="Q62" s="10"/>
      <c r="R62" s="10"/>
      <c r="S62" s="10"/>
      <c r="T62" s="10"/>
      <c r="U62" s="10"/>
      <c r="V62" s="10"/>
      <c r="W62" s="10"/>
      <c r="X62" s="10"/>
      <c r="Y62" s="10"/>
      <c r="Z62" s="10"/>
      <c r="AA62" s="10"/>
      <c r="AB62" s="10"/>
      <c r="AC62" s="10"/>
      <c r="AD62" s="10"/>
      <c r="AE62" s="10"/>
      <c r="AF62" s="10"/>
      <c r="AG62" s="10"/>
      <c r="AH62" s="10"/>
      <c r="AI62" s="10"/>
      <c r="AJ62" s="10"/>
      <c r="AK62" s="7"/>
      <c r="AL62" s="7"/>
      <c r="AM62" s="7"/>
      <c r="AN62" s="7"/>
      <c r="AO62" s="7"/>
      <c r="AP62" s="7"/>
      <c r="AQ62" s="7"/>
      <c r="AR62" s="10"/>
      <c r="AS62" s="10"/>
      <c r="AT62" s="10"/>
      <c r="AU62" s="10"/>
      <c r="AV62" s="10"/>
      <c r="AW62" s="10"/>
      <c r="AX62" s="11"/>
      <c r="AY62" s="11"/>
      <c r="AZ62" s="11"/>
      <c r="BA62" s="11"/>
      <c r="BB62" s="11"/>
      <c r="BC62" s="11"/>
      <c r="BD62" s="11"/>
      <c r="BE62" s="11"/>
      <c r="BF62" s="11"/>
      <c r="BG62" s="11"/>
      <c r="BH62" s="11"/>
      <c r="BI62" s="11"/>
      <c r="BJ62" s="11"/>
      <c r="BK62" s="11"/>
      <c r="BL62" s="11"/>
      <c r="BM62" s="10"/>
      <c r="BN62" s="10"/>
      <c r="BO62" s="10"/>
      <c r="BP62" s="44"/>
      <c r="BQ62" s="10"/>
      <c r="BR62" s="11"/>
      <c r="BS62" s="11"/>
      <c r="BT62" s="11"/>
      <c r="BU62" s="11"/>
      <c r="BV62" s="11"/>
      <c r="BW62" s="11"/>
      <c r="BX62" s="11"/>
      <c r="BY62" s="11"/>
      <c r="BZ62" s="11"/>
      <c r="CA62" s="11"/>
      <c r="CB62" s="11"/>
      <c r="CC62" s="11"/>
      <c r="CD62" s="11"/>
      <c r="CE62" s="9"/>
      <c r="CF62" s="5"/>
      <c r="CG62" s="11"/>
      <c r="CH62" s="11"/>
      <c r="CI62" s="11"/>
      <c r="CJ62" s="11"/>
      <c r="CO62" s="59"/>
    </row>
    <row r="63" spans="3:93" ht="17.25" customHeight="1">
      <c r="C63" s="12"/>
      <c r="D63" s="12"/>
      <c r="E63" s="13"/>
      <c r="F63" s="13"/>
      <c r="G63" s="13"/>
      <c r="H63" s="13"/>
      <c r="I63" s="13"/>
      <c r="J63" s="14"/>
      <c r="K63" s="28"/>
      <c r="L63" s="13"/>
      <c r="M63" s="13"/>
      <c r="N63" s="13"/>
      <c r="O63" s="13"/>
      <c r="P63" s="13"/>
      <c r="Q63" s="60"/>
      <c r="R63" s="29"/>
      <c r="S63" s="29"/>
      <c r="T63" s="29"/>
      <c r="U63" s="29"/>
      <c r="V63" s="29"/>
      <c r="W63" s="29"/>
      <c r="X63" s="29"/>
      <c r="Y63" s="29"/>
      <c r="Z63" s="29"/>
      <c r="AA63" s="29"/>
      <c r="AB63" s="29"/>
      <c r="AC63" s="29"/>
      <c r="AD63" s="29"/>
      <c r="AE63" s="29"/>
      <c r="AF63" s="29"/>
      <c r="AG63" s="29"/>
      <c r="AH63" s="29"/>
      <c r="AI63" s="29"/>
      <c r="AJ63" s="29"/>
      <c r="AK63" s="13"/>
      <c r="AL63" s="13"/>
      <c r="AM63" s="13"/>
      <c r="AN63" s="13"/>
      <c r="AO63" s="13"/>
      <c r="AP63" s="13"/>
      <c r="AQ63" s="13"/>
      <c r="AR63" s="29"/>
      <c r="AS63" s="29"/>
      <c r="AT63" s="29"/>
      <c r="AU63" s="29"/>
      <c r="AV63" s="29"/>
      <c r="AW63" s="29"/>
      <c r="BM63" s="29"/>
      <c r="BN63" s="29"/>
      <c r="BO63" s="29"/>
      <c r="BP63" s="45"/>
      <c r="BQ63" s="29"/>
      <c r="CE63" s="28"/>
      <c r="CF63" s="6"/>
      <c r="CO63" s="59"/>
    </row>
    <row r="64" ht="17.25" customHeight="1">
      <c r="CO64" s="59"/>
    </row>
    <row r="65" ht="17.25" customHeight="1">
      <c r="CO65" s="59"/>
    </row>
    <row r="66" ht="17.25" customHeight="1">
      <c r="CO66" s="59"/>
    </row>
    <row r="67" ht="17.25" customHeight="1">
      <c r="CO67" s="59"/>
    </row>
    <row r="68" ht="17.25" customHeight="1">
      <c r="CO68" s="59"/>
    </row>
    <row r="69" ht="17.25" customHeight="1">
      <c r="CO69" s="59"/>
    </row>
    <row r="70" ht="17.25" customHeight="1">
      <c r="CO70" s="59"/>
    </row>
    <row r="71" ht="17.25" customHeight="1">
      <c r="CO71" s="59"/>
    </row>
    <row r="72" ht="17.25" customHeight="1">
      <c r="CO72" s="59"/>
    </row>
    <row r="73" ht="17.25" customHeight="1">
      <c r="CO73" s="59"/>
    </row>
    <row r="74" ht="17.25" customHeight="1">
      <c r="CO74" s="59"/>
    </row>
    <row r="75" ht="17.25" customHeight="1">
      <c r="CO75" s="59"/>
    </row>
    <row r="76" ht="17.25" customHeight="1">
      <c r="CO76" s="59"/>
    </row>
    <row r="77" ht="17.25" customHeight="1">
      <c r="CO77" s="59"/>
    </row>
    <row r="78" ht="17.25" customHeight="1">
      <c r="CO78" s="59"/>
    </row>
  </sheetData>
  <sheetProtection selectLockedCells="1"/>
  <mergeCells count="115">
    <mergeCell ref="CK2:CK5"/>
    <mergeCell ref="AH2:AH5"/>
    <mergeCell ref="BZ2:BZ5"/>
    <mergeCell ref="CA2:CA5"/>
    <mergeCell ref="CB2:CB5"/>
    <mergeCell ref="BQ1:BQ5"/>
    <mergeCell ref="BR1:BR5"/>
    <mergeCell ref="BS1:CE1"/>
    <mergeCell ref="BS2:BS5"/>
    <mergeCell ref="BT2:BT5"/>
    <mergeCell ref="C1:D1"/>
    <mergeCell ref="C2:D2"/>
    <mergeCell ref="J2:J5"/>
    <mergeCell ref="AP1:AS1"/>
    <mergeCell ref="AP2:AS2"/>
    <mergeCell ref="AP3:AP5"/>
    <mergeCell ref="AQ3:AQ5"/>
    <mergeCell ref="AR3:AR5"/>
    <mergeCell ref="AS3:AS5"/>
    <mergeCell ref="O4:O5"/>
    <mergeCell ref="F2:F5"/>
    <mergeCell ref="G2:G5"/>
    <mergeCell ref="H2:H5"/>
    <mergeCell ref="I2:I5"/>
    <mergeCell ref="K2:K5"/>
    <mergeCell ref="L4:L5"/>
    <mergeCell ref="M4:M5"/>
    <mergeCell ref="N4:N5"/>
    <mergeCell ref="L2:M2"/>
    <mergeCell ref="N1:O1"/>
    <mergeCell ref="N2:O2"/>
    <mergeCell ref="V3:V5"/>
    <mergeCell ref="W3:W5"/>
    <mergeCell ref="Q1:X1"/>
    <mergeCell ref="R2:U2"/>
    <mergeCell ref="R4:S4"/>
    <mergeCell ref="T4:U4"/>
    <mergeCell ref="R3:U3"/>
    <mergeCell ref="Q3:Q5"/>
    <mergeCell ref="X3:X5"/>
    <mergeCell ref="B4:B5"/>
    <mergeCell ref="C4:C5"/>
    <mergeCell ref="D4:D5"/>
    <mergeCell ref="E2:E5"/>
    <mergeCell ref="Y1:AA1"/>
    <mergeCell ref="Y2:Y5"/>
    <mergeCell ref="Z2:Z5"/>
    <mergeCell ref="AA2:AA5"/>
    <mergeCell ref="P2:P5"/>
    <mergeCell ref="L1:M1"/>
    <mergeCell ref="AB1:AD1"/>
    <mergeCell ref="AB3:AD3"/>
    <mergeCell ref="AB4:AB5"/>
    <mergeCell ref="AC4:AC5"/>
    <mergeCell ref="AD4:AD5"/>
    <mergeCell ref="AB2:AD2"/>
    <mergeCell ref="AM3:AM5"/>
    <mergeCell ref="AN3:AN5"/>
    <mergeCell ref="AO3:AO5"/>
    <mergeCell ref="AE1:AG1"/>
    <mergeCell ref="AE2:AG2"/>
    <mergeCell ref="AE3:AG3"/>
    <mergeCell ref="AE4:AE5"/>
    <mergeCell ref="AF4:AF5"/>
    <mergeCell ref="AG4:AG5"/>
    <mergeCell ref="AW2:AW5"/>
    <mergeCell ref="AX2:AX5"/>
    <mergeCell ref="AY2:AY5"/>
    <mergeCell ref="AZ2:AZ5"/>
    <mergeCell ref="AI1:AO1"/>
    <mergeCell ref="AI2:AO2"/>
    <mergeCell ref="AI3:AI5"/>
    <mergeCell ref="AJ3:AJ5"/>
    <mergeCell ref="AK3:AK5"/>
    <mergeCell ref="AL3:AL5"/>
    <mergeCell ref="BF2:BF5"/>
    <mergeCell ref="BG2:BG5"/>
    <mergeCell ref="BH2:BH5"/>
    <mergeCell ref="BI2:BI5"/>
    <mergeCell ref="AT1:AU1"/>
    <mergeCell ref="AT2:AU2"/>
    <mergeCell ref="AT3:AT5"/>
    <mergeCell ref="AU3:AU5"/>
    <mergeCell ref="AV1:BC1"/>
    <mergeCell ref="AV2:AV5"/>
    <mergeCell ref="BM1:BO1"/>
    <mergeCell ref="BM2:BM5"/>
    <mergeCell ref="BN2:BN5"/>
    <mergeCell ref="BO2:BO5"/>
    <mergeCell ref="BA2:BA5"/>
    <mergeCell ref="BB2:BB5"/>
    <mergeCell ref="BC2:BC5"/>
    <mergeCell ref="BD1:BL1"/>
    <mergeCell ref="BD2:BD5"/>
    <mergeCell ref="BE2:BE5"/>
    <mergeCell ref="CG2:CG5"/>
    <mergeCell ref="CH2:CH5"/>
    <mergeCell ref="CI2:CI5"/>
    <mergeCell ref="BJ2:BJ5"/>
    <mergeCell ref="BK2:BK5"/>
    <mergeCell ref="BL2:BL5"/>
    <mergeCell ref="CC2:CC5"/>
    <mergeCell ref="CD2:CD5"/>
    <mergeCell ref="CE2:CE5"/>
    <mergeCell ref="BU2:BU5"/>
    <mergeCell ref="CL1:CO1"/>
    <mergeCell ref="CL2:CL5"/>
    <mergeCell ref="CM2:CM5"/>
    <mergeCell ref="CN2:CN5"/>
    <mergeCell ref="CO2:CO5"/>
    <mergeCell ref="BV2:BV5"/>
    <mergeCell ref="BW2:BW5"/>
    <mergeCell ref="BX2:BX5"/>
    <mergeCell ref="BY2:BY5"/>
    <mergeCell ref="CG1:CI1"/>
  </mergeCells>
  <printOptions/>
  <pageMargins left="0.25" right="0.25" top="0.75" bottom="0.75" header="0.5" footer="0.5"/>
  <pageSetup horizontalDpi="300" verticalDpi="300" orientation="landscape" scale="53" r:id="rId1"/>
  <headerFooter alignWithMargins="0">
    <oddHeader>&amp;CMonmouth County 2016 Abstract of Ratables</oddHeader>
  </headerFooter>
  <colBreaks count="12" manualBreakCount="12">
    <brk id="9" max="75" man="1"/>
    <brk id="16" max="75" man="1"/>
    <brk id="24" max="75" man="1"/>
    <brk id="30" max="75" man="1"/>
    <brk id="34" max="75" man="1"/>
    <brk id="41" max="65535" man="1"/>
    <brk id="47" max="75" man="1"/>
    <brk id="55" max="75" man="1"/>
    <brk id="64" max="75" man="1"/>
    <brk id="70" max="65535" man="1"/>
    <brk id="83" max="65535" man="1"/>
    <brk id="93" max="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Middlesex Abstract of Ratables 2016</dc:title>
  <dc:subject>Middlesex Abstract of Ratables 2016</dc:subject>
  <dc:creator>NJ Taxation</dc:creator>
  <cp:keywords>Middlesex Abstract of Ratables, 2016</cp:keywords>
  <dc:description/>
  <cp:lastModifiedBy>Christopher Beitz, </cp:lastModifiedBy>
  <cp:lastPrinted>2017-03-13T17:29:27Z</cp:lastPrinted>
  <dcterms:created xsi:type="dcterms:W3CDTF">1998-11-12T18:24:45Z</dcterms:created>
  <dcterms:modified xsi:type="dcterms:W3CDTF">2017-04-10T16:30:39Z</dcterms:modified>
  <cp:category/>
  <cp:version/>
  <cp:contentType/>
  <cp:contentStatus/>
</cp:coreProperties>
</file>